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!!! ПФХД 2022 ДК ДШИ 2 ПАРК\Парк\ПФХД\2022\ПФХД\"/>
    </mc:Choice>
  </mc:AlternateContent>
  <xr:revisionPtr revIDLastSave="0" documentId="13_ncr:1_{EED62CAE-122F-4487-8EDD-1ED91A918A02}" xr6:coauthVersionLast="47" xr6:coauthVersionMax="47" xr10:uidLastSave="{00000000-0000-0000-0000-000000000000}"/>
  <bookViews>
    <workbookView xWindow="-113" yWindow="-113" windowWidth="24267" windowHeight="13148" tabRatio="689" activeTab="7" xr2:uid="{00000000-000D-0000-FFFF-FFFF00000000}"/>
  </bookViews>
  <sheets>
    <sheet name="Раздел 1" sheetId="1" r:id="rId1"/>
    <sheet name="Раздел 2" sheetId="2" r:id="rId2"/>
    <sheet name="Раздел 3" sheetId="3" r:id="rId3"/>
    <sheet name="3.6.(211+213+850)" sheetId="5" r:id="rId4"/>
    <sheet name="3.6.(211+213+850)(2)" sheetId="8" r:id="rId5"/>
    <sheet name="3.13(244)" sheetId="6" r:id="rId6"/>
    <sheet name="3.13(244)(2)" sheetId="9" r:id="rId7"/>
    <sheet name="3.13(244)(5)" sheetId="11" r:id="rId8"/>
  </sheets>
  <definedNames>
    <definedName name="_xlnm.Print_Area" localSheetId="5">'3.13(244)'!$A$1:$O$235</definedName>
    <definedName name="_xlnm.Print_Area" localSheetId="7">'3.13(244)(5)'!$A$1:$N$222</definedName>
    <definedName name="_xlnm.Print_Area" localSheetId="0">'Раздел 1'!$A$1:$K$91</definedName>
    <definedName name="_xlnm.Print_Area" localSheetId="2">'Раздел 3'!$A$1:$K$143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2" i="6" l="1"/>
  <c r="K82" i="6"/>
  <c r="I82" i="6"/>
  <c r="J82" i="6"/>
  <c r="I70" i="6"/>
  <c r="L70" i="6"/>
  <c r="K78" i="6"/>
  <c r="K79" i="6"/>
  <c r="J79" i="6"/>
  <c r="I79" i="6"/>
  <c r="H79" i="6"/>
  <c r="G79" i="6"/>
  <c r="E79" i="6"/>
  <c r="D79" i="6"/>
  <c r="J78" i="6"/>
  <c r="I78" i="6"/>
  <c r="H78" i="6"/>
  <c r="G78" i="6"/>
  <c r="E78" i="6"/>
  <c r="D78" i="6"/>
  <c r="E97" i="1"/>
  <c r="D97" i="1"/>
  <c r="D96" i="1"/>
  <c r="E52" i="1"/>
  <c r="I79" i="9"/>
  <c r="F177" i="9"/>
  <c r="I177" i="9" s="1"/>
  <c r="I106" i="9"/>
  <c r="I116" i="6"/>
  <c r="I150" i="6"/>
  <c r="I239" i="6"/>
  <c r="I225" i="6"/>
  <c r="I234" i="6"/>
  <c r="I169" i="6"/>
  <c r="I170" i="6" s="1"/>
  <c r="K238" i="8"/>
  <c r="J238" i="8"/>
  <c r="I237" i="6" l="1"/>
  <c r="I247" i="8"/>
  <c r="K92" i="1"/>
  <c r="J92" i="1"/>
  <c r="D75" i="3"/>
  <c r="D41" i="1" l="1"/>
  <c r="F199" i="5"/>
  <c r="F193" i="5"/>
  <c r="F195" i="5"/>
  <c r="F190" i="5"/>
  <c r="F191" i="5"/>
  <c r="G200" i="5"/>
  <c r="F194" i="5"/>
  <c r="C199" i="5"/>
  <c r="C195" i="5"/>
  <c r="C194" i="5"/>
  <c r="C191" i="5"/>
  <c r="F192" i="5"/>
  <c r="L68" i="5"/>
  <c r="L66" i="5"/>
  <c r="I209" i="5"/>
  <c r="I210" i="5" s="1"/>
  <c r="F200" i="5" l="1"/>
  <c r="I77" i="3"/>
  <c r="F76" i="3" l="1"/>
  <c r="G9" i="2" l="1"/>
  <c r="L226" i="6" l="1"/>
  <c r="L170" i="6"/>
  <c r="C23" i="6" s="1"/>
  <c r="L150" i="6"/>
  <c r="C22" i="6"/>
  <c r="L116" i="6"/>
  <c r="C19" i="6" s="1"/>
  <c r="K114" i="6"/>
  <c r="O47" i="6" l="1"/>
  <c r="L210" i="5"/>
  <c r="L127" i="11"/>
  <c r="C22" i="11" s="1"/>
  <c r="L98" i="11"/>
  <c r="C19" i="11" s="1"/>
  <c r="L80" i="11"/>
  <c r="C17" i="11" s="1"/>
  <c r="L57" i="11"/>
  <c r="C15" i="11" s="1"/>
  <c r="I222" i="11"/>
  <c r="K222" i="11" s="1"/>
  <c r="K223" i="11" s="1"/>
  <c r="K214" i="11"/>
  <c r="J214" i="11"/>
  <c r="K199" i="11"/>
  <c r="J199" i="11"/>
  <c r="I199" i="11"/>
  <c r="I189" i="11"/>
  <c r="K189" i="11" s="1"/>
  <c r="K190" i="11" s="1"/>
  <c r="H189" i="11"/>
  <c r="G189" i="11"/>
  <c r="E189" i="11"/>
  <c r="D189" i="11"/>
  <c r="K181" i="11"/>
  <c r="J181" i="11"/>
  <c r="I181" i="11"/>
  <c r="I170" i="11"/>
  <c r="K170" i="11" s="1"/>
  <c r="K171" i="11" s="1"/>
  <c r="H170" i="11"/>
  <c r="G170" i="11"/>
  <c r="E170" i="11"/>
  <c r="D170" i="11"/>
  <c r="K162" i="11"/>
  <c r="J162" i="11"/>
  <c r="I162" i="11"/>
  <c r="K153" i="11"/>
  <c r="J153" i="11"/>
  <c r="K137" i="11"/>
  <c r="J137" i="11"/>
  <c r="I137" i="11"/>
  <c r="K127" i="11"/>
  <c r="J127" i="11"/>
  <c r="I127" i="11"/>
  <c r="C21" i="11" s="1"/>
  <c r="K116" i="11"/>
  <c r="J116" i="11"/>
  <c r="I116" i="11"/>
  <c r="K98" i="11"/>
  <c r="J98" i="11"/>
  <c r="I98" i="11"/>
  <c r="K80" i="11"/>
  <c r="J80" i="11"/>
  <c r="I80" i="11"/>
  <c r="K71" i="11"/>
  <c r="J71" i="11"/>
  <c r="I71" i="11"/>
  <c r="K57" i="11"/>
  <c r="J57" i="11"/>
  <c r="I57" i="11"/>
  <c r="N48" i="11"/>
  <c r="M48" i="11"/>
  <c r="L48" i="11"/>
  <c r="E35" i="11"/>
  <c r="D35" i="11"/>
  <c r="C28" i="11"/>
  <c r="D14" i="1"/>
  <c r="L114" i="9"/>
  <c r="I114" i="9"/>
  <c r="H113" i="9"/>
  <c r="L123" i="9"/>
  <c r="I153" i="11" l="1"/>
  <c r="C24" i="11" s="1"/>
  <c r="C12" i="11" s="1"/>
  <c r="G21" i="2" s="1"/>
  <c r="G18" i="2" s="1"/>
  <c r="I190" i="11"/>
  <c r="I214" i="11"/>
  <c r="C31" i="11" s="1"/>
  <c r="C25" i="11" s="1"/>
  <c r="J189" i="11"/>
  <c r="J190" i="11" s="1"/>
  <c r="J170" i="11"/>
  <c r="J171" i="11" s="1"/>
  <c r="J222" i="11"/>
  <c r="J223" i="11" s="1"/>
  <c r="I171" i="11"/>
  <c r="I223" i="11"/>
  <c r="C35" i="11" l="1"/>
  <c r="J180" i="9" l="1"/>
  <c r="K180" i="9"/>
  <c r="J179" i="9"/>
  <c r="K179" i="9"/>
  <c r="J178" i="9"/>
  <c r="K178" i="9"/>
  <c r="I180" i="9"/>
  <c r="I179" i="9"/>
  <c r="I178" i="9"/>
  <c r="I181" i="9"/>
  <c r="D112" i="9"/>
  <c r="E112" i="9"/>
  <c r="G112" i="9"/>
  <c r="H112" i="9"/>
  <c r="J112" i="9"/>
  <c r="K112" i="9"/>
  <c r="H106" i="9"/>
  <c r="G106" i="9"/>
  <c r="E106" i="9"/>
  <c r="D106" i="9"/>
  <c r="K105" i="9"/>
  <c r="J105" i="9"/>
  <c r="H105" i="9"/>
  <c r="G105" i="9"/>
  <c r="E105" i="9"/>
  <c r="D105" i="9"/>
  <c r="I59" i="9"/>
  <c r="I80" i="6"/>
  <c r="D133" i="6"/>
  <c r="L167" i="5"/>
  <c r="K167" i="5"/>
  <c r="I167" i="5"/>
  <c r="L166" i="5"/>
  <c r="K166" i="5"/>
  <c r="I166" i="5"/>
  <c r="L165" i="5"/>
  <c r="K165" i="5"/>
  <c r="I165" i="5"/>
  <c r="L164" i="5"/>
  <c r="K164" i="5"/>
  <c r="I164" i="5"/>
  <c r="F163" i="5"/>
  <c r="I163" i="5" s="1"/>
  <c r="G162" i="5"/>
  <c r="F162" i="5"/>
  <c r="F161" i="5"/>
  <c r="K161" i="5" s="1"/>
  <c r="F160" i="5"/>
  <c r="K160" i="5" s="1"/>
  <c r="F159" i="5"/>
  <c r="K159" i="5" s="1"/>
  <c r="F158" i="5"/>
  <c r="K158" i="5" s="1"/>
  <c r="G157" i="5"/>
  <c r="F157" i="5"/>
  <c r="I157" i="5" s="1"/>
  <c r="F156" i="5"/>
  <c r="K156" i="5" s="1"/>
  <c r="F155" i="5"/>
  <c r="K155" i="5" s="1"/>
  <c r="F154" i="5"/>
  <c r="K154" i="5" s="1"/>
  <c r="F153" i="5"/>
  <c r="K153" i="5" s="1"/>
  <c r="F152" i="5"/>
  <c r="K152" i="5" s="1"/>
  <c r="F151" i="5"/>
  <c r="K151" i="5" s="1"/>
  <c r="F150" i="5"/>
  <c r="K150" i="5" s="1"/>
  <c r="F149" i="5"/>
  <c r="K149" i="5" s="1"/>
  <c r="F148" i="5"/>
  <c r="K148" i="5" s="1"/>
  <c r="F147" i="5"/>
  <c r="K147" i="5" s="1"/>
  <c r="F146" i="5"/>
  <c r="K146" i="5" s="1"/>
  <c r="G145" i="5"/>
  <c r="F145" i="5"/>
  <c r="F144" i="5"/>
  <c r="K144" i="5" s="1"/>
  <c r="F143" i="5"/>
  <c r="K143" i="5" s="1"/>
  <c r="G142" i="5"/>
  <c r="F142" i="5"/>
  <c r="G141" i="5"/>
  <c r="F141" i="5"/>
  <c r="I141" i="5" s="1"/>
  <c r="G140" i="5"/>
  <c r="F140" i="5"/>
  <c r="F139" i="5"/>
  <c r="K139" i="5" s="1"/>
  <c r="F138" i="5"/>
  <c r="K138" i="5" s="1"/>
  <c r="F137" i="5"/>
  <c r="K137" i="5" s="1"/>
  <c r="F136" i="5"/>
  <c r="K136" i="5" s="1"/>
  <c r="F135" i="5"/>
  <c r="K135" i="5" s="1"/>
  <c r="F134" i="5"/>
  <c r="K134" i="5" s="1"/>
  <c r="G133" i="5"/>
  <c r="F133" i="5"/>
  <c r="G132" i="5"/>
  <c r="F132" i="5"/>
  <c r="I132" i="5" s="1"/>
  <c r="F131" i="5"/>
  <c r="K131" i="5" s="1"/>
  <c r="F130" i="5"/>
  <c r="K130" i="5" s="1"/>
  <c r="G129" i="5"/>
  <c r="F129" i="5"/>
  <c r="F128" i="5"/>
  <c r="K128" i="5" s="1"/>
  <c r="F127" i="5"/>
  <c r="K127" i="5" s="1"/>
  <c r="L117" i="5"/>
  <c r="K117" i="5"/>
  <c r="I117" i="5"/>
  <c r="L116" i="5"/>
  <c r="K116" i="5"/>
  <c r="I116" i="5"/>
  <c r="L115" i="5"/>
  <c r="K115" i="5"/>
  <c r="I115" i="5"/>
  <c r="L114" i="5"/>
  <c r="K114" i="5"/>
  <c r="I114" i="5"/>
  <c r="F113" i="5"/>
  <c r="I113" i="5" s="1"/>
  <c r="G112" i="5"/>
  <c r="F112" i="5"/>
  <c r="K112" i="5" s="1"/>
  <c r="F111" i="5"/>
  <c r="K111" i="5" s="1"/>
  <c r="F110" i="5"/>
  <c r="I110" i="5" s="1"/>
  <c r="F109" i="5"/>
  <c r="K109" i="5" s="1"/>
  <c r="F108" i="5"/>
  <c r="I108" i="5" s="1"/>
  <c r="G107" i="5"/>
  <c r="F107" i="5"/>
  <c r="F106" i="5"/>
  <c r="K106" i="5" s="1"/>
  <c r="F105" i="5"/>
  <c r="K105" i="5" s="1"/>
  <c r="F104" i="5"/>
  <c r="K104" i="5" s="1"/>
  <c r="F103" i="5"/>
  <c r="K103" i="5" s="1"/>
  <c r="F102" i="5"/>
  <c r="K102" i="5" s="1"/>
  <c r="F101" i="5"/>
  <c r="K101" i="5" s="1"/>
  <c r="F100" i="5"/>
  <c r="K100" i="5" s="1"/>
  <c r="F99" i="5"/>
  <c r="K99" i="5" s="1"/>
  <c r="F98" i="5"/>
  <c r="K98" i="5" s="1"/>
  <c r="F97" i="5"/>
  <c r="K97" i="5" s="1"/>
  <c r="F96" i="5"/>
  <c r="K96" i="5" s="1"/>
  <c r="G95" i="5"/>
  <c r="F95" i="5"/>
  <c r="I95" i="5" s="1"/>
  <c r="F94" i="5"/>
  <c r="K94" i="5" s="1"/>
  <c r="F93" i="5"/>
  <c r="K93" i="5" s="1"/>
  <c r="G92" i="5"/>
  <c r="F92" i="5"/>
  <c r="I92" i="5" s="1"/>
  <c r="G91" i="5"/>
  <c r="F91" i="5"/>
  <c r="G90" i="5"/>
  <c r="F90" i="5"/>
  <c r="I90" i="5" s="1"/>
  <c r="F89" i="5"/>
  <c r="K89" i="5" s="1"/>
  <c r="F88" i="5"/>
  <c r="K88" i="5" s="1"/>
  <c r="F87" i="5"/>
  <c r="K87" i="5" s="1"/>
  <c r="F86" i="5"/>
  <c r="K86" i="5" s="1"/>
  <c r="F85" i="5"/>
  <c r="K85" i="5" s="1"/>
  <c r="F84" i="5"/>
  <c r="K84" i="5" s="1"/>
  <c r="G83" i="5"/>
  <c r="F83" i="5"/>
  <c r="I83" i="5" s="1"/>
  <c r="G82" i="5"/>
  <c r="F82" i="5"/>
  <c r="F81" i="5"/>
  <c r="K81" i="5" s="1"/>
  <c r="F80" i="5"/>
  <c r="K80" i="5" s="1"/>
  <c r="G79" i="5"/>
  <c r="F79" i="5"/>
  <c r="F78" i="5"/>
  <c r="K78" i="5" s="1"/>
  <c r="F77" i="5"/>
  <c r="K77" i="5" s="1"/>
  <c r="G60" i="5"/>
  <c r="G55" i="5"/>
  <c r="G43" i="5"/>
  <c r="G40" i="5"/>
  <c r="G39" i="5"/>
  <c r="G38" i="5"/>
  <c r="G31" i="5"/>
  <c r="G30" i="5"/>
  <c r="G27" i="5"/>
  <c r="K75" i="3"/>
  <c r="E75" i="3" s="1"/>
  <c r="J75" i="3"/>
  <c r="I75" i="3"/>
  <c r="I76" i="3"/>
  <c r="I153" i="5" l="1"/>
  <c r="K107" i="5"/>
  <c r="I140" i="5"/>
  <c r="I142" i="5"/>
  <c r="I89" i="5"/>
  <c r="I101" i="5"/>
  <c r="D101" i="5" s="1"/>
  <c r="L101" i="5" s="1"/>
  <c r="I82" i="5"/>
  <c r="I129" i="5"/>
  <c r="I131" i="5"/>
  <c r="I158" i="5"/>
  <c r="D158" i="5" s="1"/>
  <c r="L158" i="5" s="1"/>
  <c r="K162" i="5"/>
  <c r="D85" i="5"/>
  <c r="L85" i="5" s="1"/>
  <c r="I87" i="5"/>
  <c r="D87" i="5" s="1"/>
  <c r="L87" i="5" s="1"/>
  <c r="I94" i="5"/>
  <c r="D94" i="5" s="1"/>
  <c r="L94" i="5" s="1"/>
  <c r="I99" i="5"/>
  <c r="D99" i="5" s="1"/>
  <c r="L99" i="5" s="1"/>
  <c r="I139" i="5"/>
  <c r="D139" i="5" s="1"/>
  <c r="L139" i="5" s="1"/>
  <c r="I151" i="5"/>
  <c r="D151" i="5" s="1"/>
  <c r="L151" i="5" s="1"/>
  <c r="I78" i="5"/>
  <c r="D78" i="5" s="1"/>
  <c r="L78" i="5" s="1"/>
  <c r="I85" i="5"/>
  <c r="I97" i="5"/>
  <c r="D97" i="5" s="1"/>
  <c r="L97" i="5" s="1"/>
  <c r="I105" i="5"/>
  <c r="D105" i="5" s="1"/>
  <c r="L105" i="5" s="1"/>
  <c r="I137" i="5"/>
  <c r="D137" i="5" s="1"/>
  <c r="L137" i="5" s="1"/>
  <c r="I144" i="5"/>
  <c r="D144" i="5" s="1"/>
  <c r="L144" i="5" s="1"/>
  <c r="I149" i="5"/>
  <c r="D149" i="5" s="1"/>
  <c r="L149" i="5" s="1"/>
  <c r="K157" i="5"/>
  <c r="D157" i="5" s="1"/>
  <c r="L157" i="5" s="1"/>
  <c r="I79" i="5"/>
  <c r="I81" i="5"/>
  <c r="D81" i="5" s="1"/>
  <c r="L81" i="5" s="1"/>
  <c r="D89" i="5"/>
  <c r="L89" i="5" s="1"/>
  <c r="I91" i="5"/>
  <c r="I103" i="5"/>
  <c r="D103" i="5" s="1"/>
  <c r="L103" i="5" s="1"/>
  <c r="I128" i="5"/>
  <c r="D128" i="5" s="1"/>
  <c r="L128" i="5" s="1"/>
  <c r="D131" i="5"/>
  <c r="L131" i="5" s="1"/>
  <c r="I133" i="5"/>
  <c r="I135" i="5"/>
  <c r="D135" i="5" s="1"/>
  <c r="L135" i="5" s="1"/>
  <c r="I145" i="5"/>
  <c r="I147" i="5"/>
  <c r="D147" i="5" s="1"/>
  <c r="L147" i="5" s="1"/>
  <c r="D153" i="5"/>
  <c r="L153" i="5" s="1"/>
  <c r="I155" i="5"/>
  <c r="D155" i="5" s="1"/>
  <c r="L155" i="5" s="1"/>
  <c r="I160" i="5"/>
  <c r="D160" i="5" s="1"/>
  <c r="L160" i="5" s="1"/>
  <c r="I127" i="5"/>
  <c r="D127" i="5" s="1"/>
  <c r="L127" i="5" s="1"/>
  <c r="K129" i="5"/>
  <c r="I130" i="5"/>
  <c r="D130" i="5" s="1"/>
  <c r="L130" i="5" s="1"/>
  <c r="K132" i="5"/>
  <c r="D132" i="5" s="1"/>
  <c r="L132" i="5" s="1"/>
  <c r="K133" i="5"/>
  <c r="D133" i="5" s="1"/>
  <c r="L133" i="5" s="1"/>
  <c r="I134" i="5"/>
  <c r="D134" i="5" s="1"/>
  <c r="L134" i="5" s="1"/>
  <c r="I136" i="5"/>
  <c r="D136" i="5" s="1"/>
  <c r="L136" i="5" s="1"/>
  <c r="I138" i="5"/>
  <c r="D138" i="5" s="1"/>
  <c r="L138" i="5" s="1"/>
  <c r="K140" i="5"/>
  <c r="D140" i="5" s="1"/>
  <c r="L140" i="5" s="1"/>
  <c r="K141" i="5"/>
  <c r="D141" i="5" s="1"/>
  <c r="L141" i="5" s="1"/>
  <c r="K142" i="5"/>
  <c r="I143" i="5"/>
  <c r="D143" i="5" s="1"/>
  <c r="L143" i="5" s="1"/>
  <c r="K145" i="5"/>
  <c r="I146" i="5"/>
  <c r="D146" i="5" s="1"/>
  <c r="L146" i="5" s="1"/>
  <c r="I148" i="5"/>
  <c r="D148" i="5" s="1"/>
  <c r="L148" i="5" s="1"/>
  <c r="I150" i="5"/>
  <c r="D150" i="5" s="1"/>
  <c r="L150" i="5" s="1"/>
  <c r="I152" i="5"/>
  <c r="D152" i="5" s="1"/>
  <c r="L152" i="5" s="1"/>
  <c r="I154" i="5"/>
  <c r="D154" i="5" s="1"/>
  <c r="L154" i="5" s="1"/>
  <c r="I156" i="5"/>
  <c r="D156" i="5" s="1"/>
  <c r="L156" i="5" s="1"/>
  <c r="I159" i="5"/>
  <c r="D159" i="5" s="1"/>
  <c r="L159" i="5" s="1"/>
  <c r="I161" i="5"/>
  <c r="D161" i="5" s="1"/>
  <c r="L161" i="5" s="1"/>
  <c r="I162" i="5"/>
  <c r="K163" i="5"/>
  <c r="D163" i="5" s="1"/>
  <c r="L163" i="5" s="1"/>
  <c r="I77" i="5"/>
  <c r="D77" i="5" s="1"/>
  <c r="L77" i="5" s="1"/>
  <c r="K79" i="5"/>
  <c r="D79" i="5" s="1"/>
  <c r="L79" i="5" s="1"/>
  <c r="I80" i="5"/>
  <c r="D80" i="5" s="1"/>
  <c r="L80" i="5" s="1"/>
  <c r="K82" i="5"/>
  <c r="K83" i="5"/>
  <c r="D83" i="5" s="1"/>
  <c r="L83" i="5" s="1"/>
  <c r="I84" i="5"/>
  <c r="D84" i="5" s="1"/>
  <c r="L84" i="5" s="1"/>
  <c r="I86" i="5"/>
  <c r="D86" i="5" s="1"/>
  <c r="L86" i="5" s="1"/>
  <c r="I88" i="5"/>
  <c r="D88" i="5" s="1"/>
  <c r="L88" i="5" s="1"/>
  <c r="K90" i="5"/>
  <c r="D90" i="5" s="1"/>
  <c r="L90" i="5" s="1"/>
  <c r="K91" i="5"/>
  <c r="K92" i="5"/>
  <c r="D92" i="5" s="1"/>
  <c r="L92" i="5" s="1"/>
  <c r="I93" i="5"/>
  <c r="D93" i="5" s="1"/>
  <c r="L93" i="5" s="1"/>
  <c r="K95" i="5"/>
  <c r="D95" i="5" s="1"/>
  <c r="L95" i="5" s="1"/>
  <c r="I96" i="5"/>
  <c r="D96" i="5" s="1"/>
  <c r="L96" i="5" s="1"/>
  <c r="I98" i="5"/>
  <c r="D98" i="5" s="1"/>
  <c r="L98" i="5" s="1"/>
  <c r="I100" i="5"/>
  <c r="D100" i="5" s="1"/>
  <c r="L100" i="5" s="1"/>
  <c r="I102" i="5"/>
  <c r="D102" i="5" s="1"/>
  <c r="L102" i="5" s="1"/>
  <c r="I104" i="5"/>
  <c r="D104" i="5" s="1"/>
  <c r="L104" i="5" s="1"/>
  <c r="I106" i="5"/>
  <c r="D106" i="5" s="1"/>
  <c r="L106" i="5" s="1"/>
  <c r="I107" i="5"/>
  <c r="D107" i="5" s="1"/>
  <c r="L107" i="5" s="1"/>
  <c r="K108" i="5"/>
  <c r="D108" i="5" s="1"/>
  <c r="L108" i="5" s="1"/>
  <c r="I109" i="5"/>
  <c r="D109" i="5" s="1"/>
  <c r="L109" i="5" s="1"/>
  <c r="K110" i="5"/>
  <c r="D110" i="5" s="1"/>
  <c r="L110" i="5" s="1"/>
  <c r="I111" i="5"/>
  <c r="D111" i="5" s="1"/>
  <c r="L111" i="5" s="1"/>
  <c r="I112" i="5"/>
  <c r="D112" i="5" s="1"/>
  <c r="L112" i="5" s="1"/>
  <c r="K113" i="5"/>
  <c r="D113" i="5" s="1"/>
  <c r="L113" i="5" s="1"/>
  <c r="C163" i="8"/>
  <c r="G162" i="8"/>
  <c r="F162" i="8"/>
  <c r="I162" i="8" s="1"/>
  <c r="G161" i="8"/>
  <c r="F161" i="8"/>
  <c r="G160" i="8"/>
  <c r="F160" i="8"/>
  <c r="G159" i="8"/>
  <c r="F159" i="8"/>
  <c r="I159" i="8" s="1"/>
  <c r="F158" i="8"/>
  <c r="I158" i="8" s="1"/>
  <c r="F157" i="8"/>
  <c r="K157" i="8" s="1"/>
  <c r="F156" i="8"/>
  <c r="F155" i="8"/>
  <c r="K155" i="8" s="1"/>
  <c r="F154" i="8"/>
  <c r="I154" i="8" s="1"/>
  <c r="I153" i="8"/>
  <c r="F153" i="8"/>
  <c r="K153" i="8" s="1"/>
  <c r="F152" i="8"/>
  <c r="F151" i="8"/>
  <c r="K151" i="8" s="1"/>
  <c r="F150" i="8"/>
  <c r="I150" i="8" s="1"/>
  <c r="F149" i="8"/>
  <c r="K149" i="8" s="1"/>
  <c r="F148" i="8"/>
  <c r="F147" i="8"/>
  <c r="K147" i="8" s="1"/>
  <c r="F146" i="8"/>
  <c r="I146" i="8" s="1"/>
  <c r="F145" i="8"/>
  <c r="K145" i="8" s="1"/>
  <c r="F144" i="8"/>
  <c r="F143" i="8"/>
  <c r="K143" i="8" s="1"/>
  <c r="F142" i="8"/>
  <c r="I142" i="8" s="1"/>
  <c r="F141" i="8"/>
  <c r="K141" i="8" s="1"/>
  <c r="F140" i="8"/>
  <c r="F139" i="8"/>
  <c r="K139" i="8" s="1"/>
  <c r="F138" i="8"/>
  <c r="I138" i="8" s="1"/>
  <c r="F137" i="8"/>
  <c r="K137" i="8" s="1"/>
  <c r="F136" i="8"/>
  <c r="F135" i="8"/>
  <c r="K135" i="8" s="1"/>
  <c r="F134" i="8"/>
  <c r="I134" i="8" s="1"/>
  <c r="F133" i="8"/>
  <c r="K133" i="8" s="1"/>
  <c r="F132" i="8"/>
  <c r="F131" i="8"/>
  <c r="K131" i="8" s="1"/>
  <c r="F130" i="8"/>
  <c r="I130" i="8" s="1"/>
  <c r="F129" i="8"/>
  <c r="K129" i="8" s="1"/>
  <c r="F128" i="8"/>
  <c r="F127" i="8"/>
  <c r="K127" i="8" s="1"/>
  <c r="F126" i="8"/>
  <c r="I126" i="8" s="1"/>
  <c r="F125" i="8"/>
  <c r="K125" i="8" s="1"/>
  <c r="F124" i="8"/>
  <c r="F123" i="8"/>
  <c r="K123" i="8" s="1"/>
  <c r="C114" i="8"/>
  <c r="G113" i="8"/>
  <c r="F113" i="8"/>
  <c r="G112" i="8"/>
  <c r="F112" i="8"/>
  <c r="G111" i="8"/>
  <c r="F111" i="8"/>
  <c r="G110" i="8"/>
  <c r="F110" i="8"/>
  <c r="F109" i="8"/>
  <c r="I109" i="8" s="1"/>
  <c r="F108" i="8"/>
  <c r="K108" i="8" s="1"/>
  <c r="F107" i="8"/>
  <c r="F106" i="8"/>
  <c r="K106" i="8" s="1"/>
  <c r="F105" i="8"/>
  <c r="I105" i="8" s="1"/>
  <c r="F104" i="8"/>
  <c r="K104" i="8" s="1"/>
  <c r="F103" i="8"/>
  <c r="F102" i="8"/>
  <c r="K102" i="8" s="1"/>
  <c r="F101" i="8"/>
  <c r="I101" i="8" s="1"/>
  <c r="F100" i="8"/>
  <c r="K100" i="8" s="1"/>
  <c r="F99" i="8"/>
  <c r="F98" i="8"/>
  <c r="K98" i="8" s="1"/>
  <c r="F97" i="8"/>
  <c r="I97" i="8" s="1"/>
  <c r="F96" i="8"/>
  <c r="K96" i="8" s="1"/>
  <c r="F95" i="8"/>
  <c r="F94" i="8"/>
  <c r="K94" i="8" s="1"/>
  <c r="F93" i="8"/>
  <c r="I93" i="8" s="1"/>
  <c r="F92" i="8"/>
  <c r="K92" i="8" s="1"/>
  <c r="F91" i="8"/>
  <c r="F90" i="8"/>
  <c r="K90" i="8" s="1"/>
  <c r="F89" i="8"/>
  <c r="I89" i="8" s="1"/>
  <c r="F88" i="8"/>
  <c r="K88" i="8" s="1"/>
  <c r="F87" i="8"/>
  <c r="F86" i="8"/>
  <c r="K86" i="8" s="1"/>
  <c r="F85" i="8"/>
  <c r="I85" i="8" s="1"/>
  <c r="F84" i="8"/>
  <c r="K84" i="8" s="1"/>
  <c r="F83" i="8"/>
  <c r="F82" i="8"/>
  <c r="K82" i="8" s="1"/>
  <c r="F81" i="8"/>
  <c r="I81" i="8" s="1"/>
  <c r="F80" i="8"/>
  <c r="K80" i="8" s="1"/>
  <c r="F79" i="8"/>
  <c r="F78" i="8"/>
  <c r="K78" i="8" s="1"/>
  <c r="F77" i="8"/>
  <c r="I77" i="8" s="1"/>
  <c r="F76" i="8"/>
  <c r="K76" i="8" s="1"/>
  <c r="F75" i="8"/>
  <c r="F74" i="8"/>
  <c r="K74" i="8" s="1"/>
  <c r="G64" i="8"/>
  <c r="G63" i="8"/>
  <c r="G62" i="8"/>
  <c r="G61" i="8"/>
  <c r="D82" i="5" l="1"/>
  <c r="L82" i="5" s="1"/>
  <c r="D162" i="5"/>
  <c r="L162" i="5" s="1"/>
  <c r="D142" i="5"/>
  <c r="L142" i="5" s="1"/>
  <c r="D129" i="5"/>
  <c r="L129" i="5" s="1"/>
  <c r="K130" i="8"/>
  <c r="I133" i="8"/>
  <c r="D91" i="5"/>
  <c r="L91" i="5" s="1"/>
  <c r="L118" i="5" s="1"/>
  <c r="D145" i="5"/>
  <c r="L145" i="5" s="1"/>
  <c r="L168" i="5" s="1"/>
  <c r="I137" i="8"/>
  <c r="I106" i="8"/>
  <c r="D106" i="8" s="1"/>
  <c r="L106" i="8" s="1"/>
  <c r="K109" i="8"/>
  <c r="D109" i="8" s="1"/>
  <c r="L109" i="8" s="1"/>
  <c r="K146" i="8"/>
  <c r="I149" i="8"/>
  <c r="D149" i="8" s="1"/>
  <c r="L149" i="8" s="1"/>
  <c r="I123" i="8"/>
  <c r="D123" i="8" s="1"/>
  <c r="L123" i="8" s="1"/>
  <c r="K126" i="8"/>
  <c r="I135" i="8"/>
  <c r="D135" i="8" s="1"/>
  <c r="L135" i="8" s="1"/>
  <c r="I155" i="8"/>
  <c r="D155" i="8" s="1"/>
  <c r="L155" i="8" s="1"/>
  <c r="K158" i="8"/>
  <c r="D158" i="8" s="1"/>
  <c r="L158" i="8" s="1"/>
  <c r="K160" i="8"/>
  <c r="I110" i="8"/>
  <c r="I139" i="8"/>
  <c r="D139" i="8" s="1"/>
  <c r="L139" i="8" s="1"/>
  <c r="K142" i="8"/>
  <c r="D142" i="8" s="1"/>
  <c r="L142" i="8" s="1"/>
  <c r="I151" i="8"/>
  <c r="D151" i="8" s="1"/>
  <c r="L151" i="8" s="1"/>
  <c r="K161" i="8"/>
  <c r="K85" i="8"/>
  <c r="D85" i="8" s="1"/>
  <c r="L85" i="8" s="1"/>
  <c r="K101" i="8"/>
  <c r="D101" i="8" s="1"/>
  <c r="L101" i="8" s="1"/>
  <c r="I104" i="8"/>
  <c r="D104" i="8" s="1"/>
  <c r="L104" i="8" s="1"/>
  <c r="I129" i="8"/>
  <c r="D129" i="8" s="1"/>
  <c r="L129" i="8" s="1"/>
  <c r="K138" i="8"/>
  <c r="D138" i="8" s="1"/>
  <c r="L138" i="8" s="1"/>
  <c r="I125" i="8"/>
  <c r="D125" i="8" s="1"/>
  <c r="L125" i="8" s="1"/>
  <c r="I127" i="8"/>
  <c r="K134" i="8"/>
  <c r="D134" i="8" s="1"/>
  <c r="L134" i="8" s="1"/>
  <c r="D137" i="8"/>
  <c r="L137" i="8" s="1"/>
  <c r="I141" i="8"/>
  <c r="D141" i="8" s="1"/>
  <c r="L141" i="8" s="1"/>
  <c r="I143" i="8"/>
  <c r="D143" i="8" s="1"/>
  <c r="L143" i="8" s="1"/>
  <c r="K150" i="8"/>
  <c r="D150" i="8" s="1"/>
  <c r="L150" i="8" s="1"/>
  <c r="D153" i="8"/>
  <c r="L153" i="8" s="1"/>
  <c r="I157" i="8"/>
  <c r="D157" i="8" s="1"/>
  <c r="L157" i="8" s="1"/>
  <c r="K159" i="8"/>
  <c r="D159" i="8" s="1"/>
  <c r="L159" i="8" s="1"/>
  <c r="I161" i="8"/>
  <c r="D161" i="8" s="1"/>
  <c r="L161" i="8" s="1"/>
  <c r="K162" i="8"/>
  <c r="D162" i="8" s="1"/>
  <c r="L162" i="8" s="1"/>
  <c r="I131" i="8"/>
  <c r="D131" i="8" s="1"/>
  <c r="L131" i="8" s="1"/>
  <c r="I145" i="8"/>
  <c r="D145" i="8" s="1"/>
  <c r="L145" i="8" s="1"/>
  <c r="I147" i="8"/>
  <c r="D147" i="8" s="1"/>
  <c r="L147" i="8" s="1"/>
  <c r="K154" i="8"/>
  <c r="D154" i="8" s="1"/>
  <c r="L154" i="8" s="1"/>
  <c r="I90" i="8"/>
  <c r="D90" i="8" s="1"/>
  <c r="L90" i="8" s="1"/>
  <c r="K93" i="8"/>
  <c r="I100" i="8"/>
  <c r="K111" i="8"/>
  <c r="I113" i="8"/>
  <c r="D133" i="8"/>
  <c r="L133" i="8" s="1"/>
  <c r="I160" i="8"/>
  <c r="D160" i="8" s="1"/>
  <c r="L160" i="8" s="1"/>
  <c r="D127" i="8"/>
  <c r="L127" i="8" s="1"/>
  <c r="I124" i="8"/>
  <c r="D126" i="8"/>
  <c r="L126" i="8" s="1"/>
  <c r="I128" i="8"/>
  <c r="D130" i="8"/>
  <c r="L130" i="8" s="1"/>
  <c r="I132" i="8"/>
  <c r="I136" i="8"/>
  <c r="I140" i="8"/>
  <c r="I144" i="8"/>
  <c r="D146" i="8"/>
  <c r="L146" i="8" s="1"/>
  <c r="I148" i="8"/>
  <c r="I152" i="8"/>
  <c r="I156" i="8"/>
  <c r="K124" i="8"/>
  <c r="K128" i="8"/>
  <c r="K132" i="8"/>
  <c r="K136" i="8"/>
  <c r="K140" i="8"/>
  <c r="K144" i="8"/>
  <c r="K148" i="8"/>
  <c r="K152" i="8"/>
  <c r="K156" i="8"/>
  <c r="K77" i="8"/>
  <c r="D77" i="8" s="1"/>
  <c r="L77" i="8" s="1"/>
  <c r="I88" i="8"/>
  <c r="D88" i="8" s="1"/>
  <c r="L88" i="8" s="1"/>
  <c r="I84" i="8"/>
  <c r="D84" i="8" s="1"/>
  <c r="L84" i="8" s="1"/>
  <c r="I86" i="8"/>
  <c r="D86" i="8" s="1"/>
  <c r="L86" i="8" s="1"/>
  <c r="I94" i="8"/>
  <c r="D94" i="8" s="1"/>
  <c r="L94" i="8" s="1"/>
  <c r="K97" i="8"/>
  <c r="D97" i="8" s="1"/>
  <c r="L97" i="8" s="1"/>
  <c r="I102" i="8"/>
  <c r="D102" i="8" s="1"/>
  <c r="L102" i="8" s="1"/>
  <c r="K112" i="8"/>
  <c r="I76" i="8"/>
  <c r="D76" i="8" s="1"/>
  <c r="L76" i="8" s="1"/>
  <c r="I78" i="8"/>
  <c r="D78" i="8" s="1"/>
  <c r="L78" i="8" s="1"/>
  <c r="I80" i="8"/>
  <c r="D80" i="8" s="1"/>
  <c r="L80" i="8" s="1"/>
  <c r="I82" i="8"/>
  <c r="D82" i="8" s="1"/>
  <c r="L82" i="8" s="1"/>
  <c r="K89" i="8"/>
  <c r="D89" i="8" s="1"/>
  <c r="L89" i="8" s="1"/>
  <c r="I96" i="8"/>
  <c r="D96" i="8" s="1"/>
  <c r="L96" i="8" s="1"/>
  <c r="I98" i="8"/>
  <c r="K105" i="8"/>
  <c r="D105" i="8" s="1"/>
  <c r="L105" i="8" s="1"/>
  <c r="I92" i="8"/>
  <c r="D92" i="8" s="1"/>
  <c r="L92" i="8" s="1"/>
  <c r="I108" i="8"/>
  <c r="D108" i="8" s="1"/>
  <c r="L108" i="8" s="1"/>
  <c r="K110" i="8"/>
  <c r="D110" i="8" s="1"/>
  <c r="L110" i="8" s="1"/>
  <c r="K113" i="8"/>
  <c r="I74" i="8"/>
  <c r="D74" i="8" s="1"/>
  <c r="L74" i="8" s="1"/>
  <c r="K81" i="8"/>
  <c r="D81" i="8" s="1"/>
  <c r="L81" i="8" s="1"/>
  <c r="D100" i="8"/>
  <c r="L100" i="8" s="1"/>
  <c r="I111" i="8"/>
  <c r="D111" i="8" s="1"/>
  <c r="L111" i="8" s="1"/>
  <c r="D98" i="8"/>
  <c r="L98" i="8" s="1"/>
  <c r="I75" i="8"/>
  <c r="I79" i="8"/>
  <c r="I83" i="8"/>
  <c r="I87" i="8"/>
  <c r="I91" i="8"/>
  <c r="D93" i="8"/>
  <c r="L93" i="8" s="1"/>
  <c r="I95" i="8"/>
  <c r="I99" i="8"/>
  <c r="I103" i="8"/>
  <c r="I107" i="8"/>
  <c r="I112" i="8"/>
  <c r="K79" i="8"/>
  <c r="K87" i="8"/>
  <c r="K91" i="8"/>
  <c r="K95" i="8"/>
  <c r="K99" i="8"/>
  <c r="K103" i="8"/>
  <c r="K107" i="8"/>
  <c r="K75" i="8"/>
  <c r="K83" i="8"/>
  <c r="J113" i="6"/>
  <c r="K113" i="6"/>
  <c r="D152" i="8" l="1"/>
  <c r="L152" i="8" s="1"/>
  <c r="D113" i="8"/>
  <c r="L113" i="8" s="1"/>
  <c r="D144" i="8"/>
  <c r="L144" i="8" s="1"/>
  <c r="D99" i="8"/>
  <c r="L99" i="8" s="1"/>
  <c r="D103" i="8"/>
  <c r="L103" i="8" s="1"/>
  <c r="D87" i="8"/>
  <c r="L87" i="8" s="1"/>
  <c r="D112" i="8"/>
  <c r="L112" i="8" s="1"/>
  <c r="D156" i="8"/>
  <c r="L156" i="8" s="1"/>
  <c r="D140" i="8"/>
  <c r="L140" i="8" s="1"/>
  <c r="D124" i="8"/>
  <c r="L124" i="8" s="1"/>
  <c r="D148" i="8"/>
  <c r="L148" i="8" s="1"/>
  <c r="D132" i="8"/>
  <c r="L132" i="8" s="1"/>
  <c r="D128" i="8"/>
  <c r="L128" i="8" s="1"/>
  <c r="D136" i="8"/>
  <c r="L136" i="8" s="1"/>
  <c r="D95" i="8"/>
  <c r="L95" i="8" s="1"/>
  <c r="D79" i="8"/>
  <c r="L79" i="8" s="1"/>
  <c r="D107" i="8"/>
  <c r="L107" i="8" s="1"/>
  <c r="D91" i="8"/>
  <c r="L91" i="8" s="1"/>
  <c r="D83" i="8"/>
  <c r="L83" i="8" s="1"/>
  <c r="D75" i="8"/>
  <c r="L75" i="8" s="1"/>
  <c r="L114" i="8" l="1"/>
  <c r="D186" i="8" s="1"/>
  <c r="L163" i="8"/>
  <c r="L44" i="6"/>
  <c r="I81" i="6"/>
  <c r="I68" i="6"/>
  <c r="I67" i="6"/>
  <c r="I66" i="6"/>
  <c r="D11" i="8" l="1"/>
  <c r="E11" i="8"/>
  <c r="E186" i="8"/>
  <c r="D196" i="8"/>
  <c r="D192" i="8"/>
  <c r="D190" i="8"/>
  <c r="E196" i="8" l="1"/>
  <c r="E192" i="8"/>
  <c r="E190" i="8"/>
  <c r="K63" i="5" l="1"/>
  <c r="F64" i="8" l="1"/>
  <c r="K64" i="8" s="1"/>
  <c r="F63" i="8"/>
  <c r="I63" i="8" s="1"/>
  <c r="F62" i="8"/>
  <c r="K62" i="8" s="1"/>
  <c r="F61" i="8"/>
  <c r="K61" i="8" s="1"/>
  <c r="F60" i="8"/>
  <c r="K60" i="8" s="1"/>
  <c r="F59" i="8"/>
  <c r="I59" i="8" s="1"/>
  <c r="F58" i="8"/>
  <c r="K58" i="8" s="1"/>
  <c r="F57" i="8"/>
  <c r="I57" i="8" s="1"/>
  <c r="F56" i="8"/>
  <c r="K56" i="8" s="1"/>
  <c r="F55" i="8"/>
  <c r="I55" i="8" s="1"/>
  <c r="F54" i="8"/>
  <c r="K54" i="8" s="1"/>
  <c r="F53" i="8"/>
  <c r="I53" i="8" s="1"/>
  <c r="F52" i="8"/>
  <c r="K52" i="8" s="1"/>
  <c r="F51" i="8"/>
  <c r="K51" i="8" s="1"/>
  <c r="F50" i="8"/>
  <c r="I50" i="8" s="1"/>
  <c r="F49" i="8"/>
  <c r="I49" i="8" s="1"/>
  <c r="F48" i="8"/>
  <c r="K48" i="8" s="1"/>
  <c r="F47" i="8"/>
  <c r="K47" i="8" s="1"/>
  <c r="F46" i="8"/>
  <c r="K46" i="8" s="1"/>
  <c r="F45" i="8"/>
  <c r="K45" i="8" s="1"/>
  <c r="F44" i="8"/>
  <c r="K44" i="8" s="1"/>
  <c r="F43" i="8"/>
  <c r="K43" i="8" s="1"/>
  <c r="F42" i="8"/>
  <c r="I42" i="8" s="1"/>
  <c r="F41" i="8"/>
  <c r="K41" i="8" s="1"/>
  <c r="F40" i="8"/>
  <c r="K40" i="8" s="1"/>
  <c r="F39" i="8"/>
  <c r="K39" i="8" s="1"/>
  <c r="F38" i="8"/>
  <c r="I38" i="8" s="1"/>
  <c r="F37" i="8"/>
  <c r="K37" i="8" s="1"/>
  <c r="F36" i="8"/>
  <c r="I36" i="8" s="1"/>
  <c r="F35" i="8"/>
  <c r="K35" i="8" s="1"/>
  <c r="F34" i="8"/>
  <c r="I34" i="8" s="1"/>
  <c r="F33" i="8"/>
  <c r="K33" i="8" s="1"/>
  <c r="F32" i="8"/>
  <c r="I32" i="8" s="1"/>
  <c r="F31" i="8"/>
  <c r="K31" i="8" s="1"/>
  <c r="F30" i="8"/>
  <c r="I30" i="8" s="1"/>
  <c r="F29" i="8"/>
  <c r="K29" i="8" s="1"/>
  <c r="F28" i="8"/>
  <c r="I28" i="8" s="1"/>
  <c r="F27" i="8"/>
  <c r="K27" i="8" s="1"/>
  <c r="F26" i="8"/>
  <c r="I26" i="8" s="1"/>
  <c r="F25" i="8"/>
  <c r="K25" i="8" s="1"/>
  <c r="I65" i="5"/>
  <c r="F55" i="5"/>
  <c r="K55" i="5" s="1"/>
  <c r="F54" i="5"/>
  <c r="K54" i="5" s="1"/>
  <c r="F53" i="5"/>
  <c r="K53" i="5" s="1"/>
  <c r="F47" i="5"/>
  <c r="K47" i="5" s="1"/>
  <c r="F28" i="5"/>
  <c r="K28" i="5" s="1"/>
  <c r="F27" i="5"/>
  <c r="I27" i="5" s="1"/>
  <c r="J235" i="6"/>
  <c r="K235" i="6"/>
  <c r="I235" i="6"/>
  <c r="K142" i="6"/>
  <c r="J142" i="6"/>
  <c r="H142" i="6"/>
  <c r="G142" i="6"/>
  <c r="E142" i="6"/>
  <c r="D142" i="6"/>
  <c r="I61" i="8" l="1"/>
  <c r="I48" i="8"/>
  <c r="D48" i="8" s="1"/>
  <c r="L48" i="8" s="1"/>
  <c r="I33" i="8"/>
  <c r="D33" i="8" s="1"/>
  <c r="L33" i="8" s="1"/>
  <c r="I54" i="5"/>
  <c r="D54" i="5" s="1"/>
  <c r="L54" i="5" s="1"/>
  <c r="I46" i="8"/>
  <c r="D46" i="8" s="1"/>
  <c r="L46" i="8" s="1"/>
  <c r="I52" i="8"/>
  <c r="D52" i="8" s="1"/>
  <c r="L52" i="8" s="1"/>
  <c r="I53" i="5"/>
  <c r="D53" i="5" s="1"/>
  <c r="L53" i="5" s="1"/>
  <c r="I27" i="8"/>
  <c r="D27" i="8" s="1"/>
  <c r="L27" i="8" s="1"/>
  <c r="I44" i="8"/>
  <c r="D44" i="8" s="1"/>
  <c r="L44" i="8" s="1"/>
  <c r="I51" i="8"/>
  <c r="D51" i="8" s="1"/>
  <c r="L51" i="8" s="1"/>
  <c r="I56" i="8"/>
  <c r="D56" i="8" s="1"/>
  <c r="L56" i="8" s="1"/>
  <c r="I37" i="8"/>
  <c r="D37" i="8" s="1"/>
  <c r="L37" i="8" s="1"/>
  <c r="I40" i="8"/>
  <c r="D40" i="8" s="1"/>
  <c r="L40" i="8" s="1"/>
  <c r="D61" i="8"/>
  <c r="L61" i="8" s="1"/>
  <c r="I25" i="8"/>
  <c r="D25" i="8" s="1"/>
  <c r="L25" i="8" s="1"/>
  <c r="K26" i="8"/>
  <c r="D26" i="8" s="1"/>
  <c r="L26" i="8" s="1"/>
  <c r="K28" i="8"/>
  <c r="D28" i="8" s="1"/>
  <c r="L28" i="8" s="1"/>
  <c r="I29" i="8"/>
  <c r="D29" i="8" s="1"/>
  <c r="L29" i="8" s="1"/>
  <c r="K30" i="8"/>
  <c r="D30" i="8" s="1"/>
  <c r="L30" i="8" s="1"/>
  <c r="I31" i="8"/>
  <c r="D31" i="8" s="1"/>
  <c r="L31" i="8" s="1"/>
  <c r="K32" i="8"/>
  <c r="D32" i="8" s="1"/>
  <c r="L32" i="8" s="1"/>
  <c r="K34" i="8"/>
  <c r="D34" i="8" s="1"/>
  <c r="L34" i="8" s="1"/>
  <c r="I35" i="8"/>
  <c r="D35" i="8" s="1"/>
  <c r="L35" i="8" s="1"/>
  <c r="K36" i="8"/>
  <c r="D36" i="8" s="1"/>
  <c r="L36" i="8" s="1"/>
  <c r="K38" i="8"/>
  <c r="D38" i="8" s="1"/>
  <c r="L38" i="8" s="1"/>
  <c r="I39" i="8"/>
  <c r="D39" i="8" s="1"/>
  <c r="L39" i="8" s="1"/>
  <c r="I41" i="8"/>
  <c r="D41" i="8" s="1"/>
  <c r="L41" i="8" s="1"/>
  <c r="K42" i="8"/>
  <c r="D42" i="8" s="1"/>
  <c r="L42" i="8" s="1"/>
  <c r="I43" i="8"/>
  <c r="D43" i="8" s="1"/>
  <c r="L43" i="8" s="1"/>
  <c r="I45" i="8"/>
  <c r="D45" i="8" s="1"/>
  <c r="L45" i="8" s="1"/>
  <c r="I47" i="8"/>
  <c r="D47" i="8" s="1"/>
  <c r="L47" i="8" s="1"/>
  <c r="K49" i="8"/>
  <c r="D49" i="8" s="1"/>
  <c r="L49" i="8" s="1"/>
  <c r="K50" i="8"/>
  <c r="D50" i="8" s="1"/>
  <c r="L50" i="8" s="1"/>
  <c r="K53" i="8"/>
  <c r="D53" i="8" s="1"/>
  <c r="L53" i="8" s="1"/>
  <c r="I54" i="8"/>
  <c r="D54" i="8" s="1"/>
  <c r="L54" i="8" s="1"/>
  <c r="K55" i="8"/>
  <c r="D55" i="8" s="1"/>
  <c r="L55" i="8" s="1"/>
  <c r="K57" i="8"/>
  <c r="D57" i="8" s="1"/>
  <c r="L57" i="8" s="1"/>
  <c r="I58" i="8"/>
  <c r="D58" i="8" s="1"/>
  <c r="L58" i="8" s="1"/>
  <c r="K59" i="8"/>
  <c r="D59" i="8" s="1"/>
  <c r="L59" i="8" s="1"/>
  <c r="I60" i="8"/>
  <c r="D60" i="8" s="1"/>
  <c r="L60" i="8" s="1"/>
  <c r="I62" i="8"/>
  <c r="D62" i="8" s="1"/>
  <c r="L62" i="8" s="1"/>
  <c r="K63" i="8"/>
  <c r="D63" i="8" s="1"/>
  <c r="L63" i="8" s="1"/>
  <c r="I64" i="8"/>
  <c r="D64" i="8" s="1"/>
  <c r="L64" i="8" s="1"/>
  <c r="K65" i="5"/>
  <c r="L65" i="5" s="1"/>
  <c r="I55" i="5"/>
  <c r="D55" i="5" s="1"/>
  <c r="L55" i="5" s="1"/>
  <c r="K27" i="5"/>
  <c r="D27" i="5" s="1"/>
  <c r="L27" i="5" s="1"/>
  <c r="I47" i="5"/>
  <c r="D47" i="5" s="1"/>
  <c r="L47" i="5" s="1"/>
  <c r="I28" i="5"/>
  <c r="D28" i="5" s="1"/>
  <c r="L28" i="5" s="1"/>
  <c r="L65" i="8" l="1"/>
  <c r="H145" i="6"/>
  <c r="G145" i="6"/>
  <c r="E145" i="6"/>
  <c r="D145" i="6"/>
  <c r="I18" i="2" l="1"/>
  <c r="H18" i="2"/>
  <c r="C20" i="9" l="1"/>
  <c r="H112" i="6" l="1"/>
  <c r="J112" i="6"/>
  <c r="K112" i="6"/>
  <c r="I63" i="5"/>
  <c r="F61" i="5"/>
  <c r="I61" i="5" s="1"/>
  <c r="F29" i="5"/>
  <c r="I29" i="5" s="1"/>
  <c r="F59" i="5"/>
  <c r="I59" i="5" s="1"/>
  <c r="F51" i="5"/>
  <c r="I51" i="5" s="1"/>
  <c r="I64" i="5"/>
  <c r="F40" i="5"/>
  <c r="I40" i="5" s="1"/>
  <c r="F38" i="5"/>
  <c r="I38" i="5" s="1"/>
  <c r="F45" i="5"/>
  <c r="I45" i="5" s="1"/>
  <c r="F41" i="5"/>
  <c r="I41" i="5" s="1"/>
  <c r="F42" i="5"/>
  <c r="I42" i="5" s="1"/>
  <c r="I62" i="5"/>
  <c r="F56" i="5"/>
  <c r="I56" i="5" s="1"/>
  <c r="F43" i="5"/>
  <c r="I43" i="5" s="1"/>
  <c r="F58" i="5"/>
  <c r="I58" i="5" s="1"/>
  <c r="F39" i="5"/>
  <c r="I39" i="5" s="1"/>
  <c r="F52" i="5"/>
  <c r="I52" i="5" s="1"/>
  <c r="F60" i="5"/>
  <c r="I60" i="5" s="1"/>
  <c r="F57" i="5"/>
  <c r="I57" i="5" s="1"/>
  <c r="F30" i="5"/>
  <c r="I30" i="5" s="1"/>
  <c r="F31" i="5"/>
  <c r="I31" i="5" s="1"/>
  <c r="F44" i="5"/>
  <c r="I44" i="5" s="1"/>
  <c r="F46" i="5"/>
  <c r="I46" i="5" s="1"/>
  <c r="F50" i="5"/>
  <c r="I50" i="5" s="1"/>
  <c r="F49" i="5"/>
  <c r="I49" i="5" s="1"/>
  <c r="F48" i="5"/>
  <c r="I48" i="5" s="1"/>
  <c r="F34" i="5"/>
  <c r="I34" i="5" s="1"/>
  <c r="F33" i="5"/>
  <c r="I33" i="5" s="1"/>
  <c r="F32" i="5"/>
  <c r="I32" i="5" s="1"/>
  <c r="F36" i="5"/>
  <c r="I36" i="5" s="1"/>
  <c r="F35" i="5"/>
  <c r="I35" i="5" s="1"/>
  <c r="F37" i="5"/>
  <c r="I37" i="5" s="1"/>
  <c r="F26" i="5"/>
  <c r="I26" i="5" s="1"/>
  <c r="F25" i="5"/>
  <c r="C17" i="6" l="1"/>
  <c r="D82" i="1" s="1"/>
  <c r="I25" i="5"/>
  <c r="K25" i="5"/>
  <c r="K26" i="5"/>
  <c r="D26" i="5" s="1"/>
  <c r="L26" i="5" s="1"/>
  <c r="K37" i="5"/>
  <c r="D37" i="5" s="1"/>
  <c r="L37" i="5" s="1"/>
  <c r="K35" i="5"/>
  <c r="D35" i="5" s="1"/>
  <c r="L35" i="5" s="1"/>
  <c r="K36" i="5"/>
  <c r="D36" i="5" s="1"/>
  <c r="L36" i="5" s="1"/>
  <c r="K32" i="5"/>
  <c r="D32" i="5" s="1"/>
  <c r="L32" i="5" s="1"/>
  <c r="K33" i="5"/>
  <c r="D33" i="5" s="1"/>
  <c r="L33" i="5" s="1"/>
  <c r="K34" i="5"/>
  <c r="D34" i="5" s="1"/>
  <c r="L34" i="5" s="1"/>
  <c r="K48" i="5"/>
  <c r="D48" i="5" s="1"/>
  <c r="L48" i="5" s="1"/>
  <c r="K49" i="5"/>
  <c r="D49" i="5" s="1"/>
  <c r="L49" i="5" s="1"/>
  <c r="K50" i="5"/>
  <c r="D50" i="5" s="1"/>
  <c r="L50" i="5" s="1"/>
  <c r="K46" i="5"/>
  <c r="D46" i="5" s="1"/>
  <c r="L46" i="5" s="1"/>
  <c r="K44" i="5"/>
  <c r="D44" i="5" s="1"/>
  <c r="L44" i="5" s="1"/>
  <c r="K31" i="5"/>
  <c r="D31" i="5" s="1"/>
  <c r="L31" i="5" s="1"/>
  <c r="K30" i="5"/>
  <c r="D30" i="5" s="1"/>
  <c r="L30" i="5" s="1"/>
  <c r="K57" i="5"/>
  <c r="D57" i="5" s="1"/>
  <c r="L57" i="5" s="1"/>
  <c r="K60" i="5"/>
  <c r="D60" i="5" s="1"/>
  <c r="L60" i="5" s="1"/>
  <c r="K52" i="5"/>
  <c r="D52" i="5" s="1"/>
  <c r="L52" i="5" s="1"/>
  <c r="K39" i="5"/>
  <c r="D39" i="5" s="1"/>
  <c r="L39" i="5" s="1"/>
  <c r="K58" i="5"/>
  <c r="D58" i="5" s="1"/>
  <c r="L58" i="5" s="1"/>
  <c r="K43" i="5"/>
  <c r="D43" i="5" s="1"/>
  <c r="L43" i="5" s="1"/>
  <c r="K56" i="5"/>
  <c r="D56" i="5" s="1"/>
  <c r="L56" i="5" s="1"/>
  <c r="K62" i="5"/>
  <c r="L62" i="5" s="1"/>
  <c r="K42" i="5"/>
  <c r="D42" i="5" s="1"/>
  <c r="L42" i="5" s="1"/>
  <c r="K41" i="5"/>
  <c r="D41" i="5" s="1"/>
  <c r="L41" i="5" s="1"/>
  <c r="K45" i="5"/>
  <c r="D45" i="5" s="1"/>
  <c r="L45" i="5" s="1"/>
  <c r="K38" i="5"/>
  <c r="D38" i="5" s="1"/>
  <c r="L38" i="5" s="1"/>
  <c r="K40" i="5"/>
  <c r="D40" i="5" s="1"/>
  <c r="L40" i="5" s="1"/>
  <c r="K64" i="5"/>
  <c r="L64" i="5" s="1"/>
  <c r="K51" i="5"/>
  <c r="D51" i="5" s="1"/>
  <c r="L51" i="5" s="1"/>
  <c r="K59" i="5"/>
  <c r="D59" i="5" s="1"/>
  <c r="L59" i="5" s="1"/>
  <c r="K29" i="5"/>
  <c r="D29" i="5" s="1"/>
  <c r="L29" i="5" s="1"/>
  <c r="K61" i="5"/>
  <c r="D61" i="5" s="1"/>
  <c r="L61" i="5" s="1"/>
  <c r="L63" i="5"/>
  <c r="D25" i="5" l="1"/>
  <c r="L25" i="5" s="1"/>
  <c r="E23" i="1" l="1"/>
  <c r="K210" i="5" l="1"/>
  <c r="J210" i="5"/>
  <c r="K81" i="6" l="1"/>
  <c r="H81" i="6"/>
  <c r="G81" i="6"/>
  <c r="E81" i="6"/>
  <c r="D81" i="6"/>
  <c r="K80" i="6"/>
  <c r="H80" i="6"/>
  <c r="G80" i="6"/>
  <c r="E80" i="6"/>
  <c r="D80" i="6"/>
  <c r="J68" i="6" l="1"/>
  <c r="J80" i="6"/>
  <c r="J81" i="6"/>
  <c r="D17" i="6" l="1"/>
  <c r="F82" i="1" s="1"/>
  <c r="E17" i="6"/>
  <c r="H82" i="1" s="1"/>
  <c r="I239" i="8"/>
  <c r="E50" i="1" s="1"/>
  <c r="I248" i="8"/>
  <c r="E57" i="1" s="1"/>
  <c r="K248" i="8"/>
  <c r="I57" i="1" s="1"/>
  <c r="J248" i="8"/>
  <c r="G57" i="1" s="1"/>
  <c r="I248" i="5"/>
  <c r="I257" i="5"/>
  <c r="D57" i="1" s="1"/>
  <c r="D52" i="1" s="1"/>
  <c r="K257" i="5"/>
  <c r="H57" i="1" s="1"/>
  <c r="J257" i="5"/>
  <c r="F57" i="1" s="1"/>
  <c r="K76" i="3" l="1"/>
  <c r="K77" i="3"/>
  <c r="J76" i="3"/>
  <c r="J77" i="3"/>
  <c r="L41" i="9" l="1"/>
  <c r="N41" i="9" s="1"/>
  <c r="D41" i="9"/>
  <c r="L40" i="9"/>
  <c r="N40" i="9" s="1"/>
  <c r="I190" i="9"/>
  <c r="I191" i="9" s="1"/>
  <c r="C29" i="9" s="1"/>
  <c r="E80" i="1" s="1"/>
  <c r="H190" i="9"/>
  <c r="G190" i="9"/>
  <c r="E190" i="9"/>
  <c r="D190" i="9"/>
  <c r="J181" i="9"/>
  <c r="H181" i="9"/>
  <c r="G181" i="9"/>
  <c r="E181" i="9"/>
  <c r="D181" i="9"/>
  <c r="I176" i="9"/>
  <c r="H176" i="9"/>
  <c r="G176" i="9"/>
  <c r="E176" i="9"/>
  <c r="D176" i="9"/>
  <c r="I167" i="9"/>
  <c r="K167" i="9" s="1"/>
  <c r="K168" i="9" s="1"/>
  <c r="E27" i="9" s="1"/>
  <c r="I78" i="1" s="1"/>
  <c r="H167" i="9"/>
  <c r="G167" i="9"/>
  <c r="E167" i="9"/>
  <c r="D167" i="9"/>
  <c r="I158" i="9"/>
  <c r="K158" i="9" s="1"/>
  <c r="K159" i="9" s="1"/>
  <c r="E26" i="9" s="1"/>
  <c r="I77" i="1" s="1"/>
  <c r="H158" i="9"/>
  <c r="G158" i="9"/>
  <c r="E158" i="9"/>
  <c r="D158" i="9"/>
  <c r="I149" i="9"/>
  <c r="K149" i="9" s="1"/>
  <c r="K150" i="9" s="1"/>
  <c r="E25" i="9" s="1"/>
  <c r="I76" i="1" s="1"/>
  <c r="H149" i="9"/>
  <c r="G149" i="9"/>
  <c r="E149" i="9"/>
  <c r="D149" i="9"/>
  <c r="I140" i="9"/>
  <c r="K140" i="9" s="1"/>
  <c r="K141" i="9" s="1"/>
  <c r="E24" i="9" s="1"/>
  <c r="I75" i="1" s="1"/>
  <c r="H140" i="9"/>
  <c r="G140" i="9"/>
  <c r="E140" i="9"/>
  <c r="D140" i="9"/>
  <c r="I131" i="9"/>
  <c r="K131" i="9" s="1"/>
  <c r="K132" i="9" s="1"/>
  <c r="E23" i="9" s="1"/>
  <c r="H131" i="9"/>
  <c r="G131" i="9"/>
  <c r="E131" i="9"/>
  <c r="D131" i="9"/>
  <c r="K111" i="9"/>
  <c r="J111" i="9"/>
  <c r="H111" i="9"/>
  <c r="G111" i="9"/>
  <c r="E111" i="9"/>
  <c r="D111" i="9"/>
  <c r="K110" i="9"/>
  <c r="J110" i="9"/>
  <c r="H110" i="9"/>
  <c r="G110" i="9"/>
  <c r="E110" i="9"/>
  <c r="D110" i="9"/>
  <c r="K109" i="9"/>
  <c r="J109" i="9"/>
  <c r="H109" i="9"/>
  <c r="G109" i="9"/>
  <c r="E109" i="9"/>
  <c r="D109" i="9"/>
  <c r="K108" i="9"/>
  <c r="J108" i="9"/>
  <c r="H108" i="9"/>
  <c r="G108" i="9"/>
  <c r="E108" i="9"/>
  <c r="D108" i="9"/>
  <c r="K107" i="9"/>
  <c r="J107" i="9"/>
  <c r="H107" i="9"/>
  <c r="G107" i="9"/>
  <c r="E107" i="9"/>
  <c r="D107" i="9"/>
  <c r="I97" i="9"/>
  <c r="C19" i="9" s="1"/>
  <c r="C17" i="9"/>
  <c r="E70" i="1" s="1"/>
  <c r="K77" i="9"/>
  <c r="J77" i="9"/>
  <c r="H77" i="9"/>
  <c r="G77" i="9"/>
  <c r="E77" i="9"/>
  <c r="D77" i="9"/>
  <c r="K59" i="9"/>
  <c r="H59" i="9"/>
  <c r="G59" i="9"/>
  <c r="E59" i="9"/>
  <c r="D59" i="9"/>
  <c r="I50" i="9"/>
  <c r="J50" i="9" s="1"/>
  <c r="H50" i="9"/>
  <c r="G50" i="9"/>
  <c r="E50" i="9"/>
  <c r="D50" i="9"/>
  <c r="K41" i="9"/>
  <c r="J41" i="9"/>
  <c r="H41" i="9"/>
  <c r="G41" i="9"/>
  <c r="E41" i="9"/>
  <c r="K40" i="9"/>
  <c r="J40" i="9"/>
  <c r="H40" i="9"/>
  <c r="G40" i="9"/>
  <c r="E40" i="9"/>
  <c r="D40" i="9"/>
  <c r="E18" i="9"/>
  <c r="I71" i="1" s="1"/>
  <c r="D18" i="9"/>
  <c r="G71" i="1" s="1"/>
  <c r="C18" i="9"/>
  <c r="E71" i="1" s="1"/>
  <c r="E16" i="9"/>
  <c r="I69" i="1" s="1"/>
  <c r="D16" i="9"/>
  <c r="G69" i="1" s="1"/>
  <c r="C16" i="9"/>
  <c r="E69" i="1" s="1"/>
  <c r="D229" i="5"/>
  <c r="E229" i="5" s="1"/>
  <c r="N44" i="6"/>
  <c r="E31" i="6"/>
  <c r="H80" i="1" s="1"/>
  <c r="E223" i="6"/>
  <c r="D223" i="6"/>
  <c r="H223" i="6"/>
  <c r="G223" i="6"/>
  <c r="I223" i="6"/>
  <c r="I226" i="6" s="1"/>
  <c r="K215" i="6"/>
  <c r="E29" i="6" s="1"/>
  <c r="H78" i="1" s="1"/>
  <c r="I205" i="6"/>
  <c r="K205" i="6" s="1"/>
  <c r="K206" i="6" s="1"/>
  <c r="E28" i="6" s="1"/>
  <c r="H77" i="1" s="1"/>
  <c r="I197" i="6"/>
  <c r="C27" i="6" s="1"/>
  <c r="D76" i="1" s="1"/>
  <c r="I187" i="6"/>
  <c r="K187" i="6" s="1"/>
  <c r="K188" i="6" s="1"/>
  <c r="E26" i="6" s="1"/>
  <c r="H75" i="1" s="1"/>
  <c r="I179" i="6"/>
  <c r="C25" i="6" s="1"/>
  <c r="K170" i="6"/>
  <c r="E23" i="6" s="1"/>
  <c r="H73" i="1" s="1"/>
  <c r="H205" i="6"/>
  <c r="G205" i="6"/>
  <c r="E205" i="6"/>
  <c r="D205" i="6"/>
  <c r="H187" i="6"/>
  <c r="G187" i="6"/>
  <c r="E187" i="6"/>
  <c r="D187" i="6"/>
  <c r="K143" i="6"/>
  <c r="K150" i="6" s="1"/>
  <c r="J143" i="6"/>
  <c r="J150" i="6" s="1"/>
  <c r="H143" i="6"/>
  <c r="G143" i="6"/>
  <c r="E143" i="6"/>
  <c r="D143" i="6"/>
  <c r="I133" i="6"/>
  <c r="K133" i="6" s="1"/>
  <c r="K134" i="6" s="1"/>
  <c r="E21" i="6" s="1"/>
  <c r="H133" i="6"/>
  <c r="G133" i="6"/>
  <c r="E133" i="6"/>
  <c r="E20" i="6"/>
  <c r="H71" i="1" s="1"/>
  <c r="D20" i="6"/>
  <c r="F71" i="1" s="1"/>
  <c r="C20" i="6"/>
  <c r="D71" i="1" s="1"/>
  <c r="K100" i="6"/>
  <c r="K102" i="6"/>
  <c r="K103" i="6"/>
  <c r="K104" i="6"/>
  <c r="K105" i="6"/>
  <c r="K106" i="6"/>
  <c r="K107" i="6"/>
  <c r="K108" i="6"/>
  <c r="K109" i="6"/>
  <c r="K110" i="6"/>
  <c r="K111" i="6"/>
  <c r="J100" i="6"/>
  <c r="J102" i="6"/>
  <c r="J103" i="6"/>
  <c r="J104" i="6"/>
  <c r="J105" i="6"/>
  <c r="J106" i="6"/>
  <c r="J107" i="6"/>
  <c r="J108" i="6"/>
  <c r="J109" i="6"/>
  <c r="J110" i="6"/>
  <c r="J111" i="6"/>
  <c r="H100" i="6"/>
  <c r="H102" i="6"/>
  <c r="H103" i="6"/>
  <c r="H104" i="6"/>
  <c r="H105" i="6"/>
  <c r="H106" i="6"/>
  <c r="H107" i="6"/>
  <c r="H108" i="6"/>
  <c r="H109" i="6"/>
  <c r="H110" i="6"/>
  <c r="H111" i="6"/>
  <c r="G100" i="6"/>
  <c r="G102" i="6"/>
  <c r="G103" i="6"/>
  <c r="G104" i="6"/>
  <c r="G105" i="6"/>
  <c r="G106" i="6"/>
  <c r="G107" i="6"/>
  <c r="G108" i="6"/>
  <c r="G109" i="6"/>
  <c r="G110" i="6"/>
  <c r="G111" i="6"/>
  <c r="H99" i="6"/>
  <c r="G99" i="6"/>
  <c r="E100" i="6"/>
  <c r="E102" i="6"/>
  <c r="E103" i="6"/>
  <c r="E104" i="6"/>
  <c r="E105" i="6"/>
  <c r="E106" i="6"/>
  <c r="E107" i="6"/>
  <c r="E108" i="6"/>
  <c r="E109" i="6"/>
  <c r="E110" i="6"/>
  <c r="E111" i="6"/>
  <c r="D100" i="6"/>
  <c r="D102" i="6"/>
  <c r="D103" i="6"/>
  <c r="D104" i="6"/>
  <c r="D105" i="6"/>
  <c r="D106" i="6"/>
  <c r="D107" i="6"/>
  <c r="D108" i="6"/>
  <c r="D109" i="6"/>
  <c r="D110" i="6"/>
  <c r="D111" i="6"/>
  <c r="E99" i="6"/>
  <c r="D99" i="6"/>
  <c r="K99" i="6"/>
  <c r="J99" i="6"/>
  <c r="D70" i="1"/>
  <c r="E18" i="6"/>
  <c r="H69" i="1" s="1"/>
  <c r="D18" i="6"/>
  <c r="C18" i="6"/>
  <c r="D69" i="1" s="1"/>
  <c r="K69" i="6"/>
  <c r="J69" i="6"/>
  <c r="K66" i="6"/>
  <c r="J67" i="6"/>
  <c r="H66" i="6"/>
  <c r="H67" i="6"/>
  <c r="H68" i="6"/>
  <c r="H69" i="6"/>
  <c r="G66" i="6"/>
  <c r="G67" i="6"/>
  <c r="G68" i="6"/>
  <c r="G69" i="6"/>
  <c r="E66" i="6"/>
  <c r="E67" i="6"/>
  <c r="E68" i="6"/>
  <c r="E69" i="6"/>
  <c r="D66" i="6"/>
  <c r="D67" i="6"/>
  <c r="D68" i="6"/>
  <c r="D69" i="6"/>
  <c r="K56" i="6"/>
  <c r="K43" i="6"/>
  <c r="K44" i="6"/>
  <c r="K45" i="6"/>
  <c r="K46" i="6"/>
  <c r="J43" i="6"/>
  <c r="J44" i="6"/>
  <c r="J45" i="6"/>
  <c r="J46" i="6"/>
  <c r="K42" i="6"/>
  <c r="J42" i="6"/>
  <c r="L43" i="6"/>
  <c r="N43" i="6" s="1"/>
  <c r="L45" i="6"/>
  <c r="N45" i="6" s="1"/>
  <c r="L46" i="6"/>
  <c r="N46" i="6" s="1"/>
  <c r="L42" i="6"/>
  <c r="M42" i="6" s="1"/>
  <c r="H43" i="6"/>
  <c r="H44" i="6"/>
  <c r="H45" i="6"/>
  <c r="H46" i="6"/>
  <c r="G43" i="6"/>
  <c r="G44" i="6"/>
  <c r="G45" i="6"/>
  <c r="G46" i="6"/>
  <c r="H42" i="6"/>
  <c r="G42" i="6"/>
  <c r="E43" i="6"/>
  <c r="E44" i="6"/>
  <c r="E45" i="6"/>
  <c r="E46" i="6"/>
  <c r="D43" i="6"/>
  <c r="D44" i="6"/>
  <c r="D45" i="6"/>
  <c r="D46" i="6"/>
  <c r="E42" i="6"/>
  <c r="D42" i="6"/>
  <c r="K116" i="6" l="1"/>
  <c r="J114" i="9"/>
  <c r="D20" i="9" s="1"/>
  <c r="J116" i="6"/>
  <c r="E19" i="6"/>
  <c r="H70" i="1" s="1"/>
  <c r="K114" i="9"/>
  <c r="E20" i="9" s="1"/>
  <c r="J176" i="9"/>
  <c r="I182" i="9"/>
  <c r="C28" i="9" s="1"/>
  <c r="E79" i="1" s="1"/>
  <c r="D22" i="6"/>
  <c r="K223" i="6"/>
  <c r="K79" i="9"/>
  <c r="E17" i="9" s="1"/>
  <c r="I70" i="1" s="1"/>
  <c r="K123" i="9"/>
  <c r="E21" i="9" s="1"/>
  <c r="I73" i="1" s="1"/>
  <c r="I123" i="9"/>
  <c r="C21" i="9" s="1"/>
  <c r="E73" i="1" s="1"/>
  <c r="K55" i="6"/>
  <c r="K58" i="6" s="1"/>
  <c r="E15" i="6" s="1"/>
  <c r="H67" i="1" s="1"/>
  <c r="I58" i="6"/>
  <c r="D19" i="6"/>
  <c r="F70" i="1" s="1"/>
  <c r="D73" i="1"/>
  <c r="J170" i="6"/>
  <c r="D23" i="6" s="1"/>
  <c r="F73" i="1" s="1"/>
  <c r="J205" i="6"/>
  <c r="J206" i="6" s="1"/>
  <c r="D28" i="6" s="1"/>
  <c r="F77" i="1" s="1"/>
  <c r="I206" i="6"/>
  <c r="C28" i="6" s="1"/>
  <c r="D77" i="1" s="1"/>
  <c r="J187" i="6"/>
  <c r="J188" i="6" s="1"/>
  <c r="D26" i="6" s="1"/>
  <c r="F75" i="1" s="1"/>
  <c r="I188" i="6"/>
  <c r="C26" i="6" s="1"/>
  <c r="D75" i="1" s="1"/>
  <c r="J223" i="6"/>
  <c r="C16" i="6"/>
  <c r="C31" i="6"/>
  <c r="D80" i="1" s="1"/>
  <c r="E72" i="1"/>
  <c r="D74" i="1"/>
  <c r="I215" i="6"/>
  <c r="C29" i="6" s="1"/>
  <c r="D78" i="1" s="1"/>
  <c r="D31" i="6"/>
  <c r="F80" i="1" s="1"/>
  <c r="J179" i="6"/>
  <c r="D25" i="6" s="1"/>
  <c r="I74" i="1"/>
  <c r="F69" i="1"/>
  <c r="J197" i="6"/>
  <c r="D27" i="6" s="1"/>
  <c r="F76" i="1" s="1"/>
  <c r="K197" i="6"/>
  <c r="E27" i="6" s="1"/>
  <c r="H76" i="1" s="1"/>
  <c r="K179" i="6"/>
  <c r="E25" i="6" s="1"/>
  <c r="J79" i="9"/>
  <c r="D17" i="9" s="1"/>
  <c r="G70" i="1" s="1"/>
  <c r="J215" i="6"/>
  <c r="D29" i="6" s="1"/>
  <c r="F78" i="1" s="1"/>
  <c r="M41" i="9"/>
  <c r="J140" i="9"/>
  <c r="J141" i="9" s="1"/>
  <c r="D24" i="9" s="1"/>
  <c r="G75" i="1" s="1"/>
  <c r="M40" i="9"/>
  <c r="N42" i="9"/>
  <c r="E12" i="9" s="1"/>
  <c r="I66" i="1" s="1"/>
  <c r="L42" i="9"/>
  <c r="C12" i="9" s="1"/>
  <c r="E66" i="1" s="1"/>
  <c r="K50" i="9"/>
  <c r="K51" i="9" s="1"/>
  <c r="E14" i="9" s="1"/>
  <c r="I67" i="1" s="1"/>
  <c r="J51" i="9"/>
  <c r="D14" i="9" s="1"/>
  <c r="G67" i="1" s="1"/>
  <c r="I51" i="9"/>
  <c r="J59" i="9"/>
  <c r="I60" i="9"/>
  <c r="K97" i="9"/>
  <c r="E19" i="9" s="1"/>
  <c r="J131" i="9"/>
  <c r="J132" i="9" s="1"/>
  <c r="D23" i="9" s="1"/>
  <c r="I132" i="9"/>
  <c r="C23" i="9" s="1"/>
  <c r="I141" i="9"/>
  <c r="C24" i="9" s="1"/>
  <c r="E75" i="1" s="1"/>
  <c r="J149" i="9"/>
  <c r="J150" i="9" s="1"/>
  <c r="D25" i="9" s="1"/>
  <c r="G76" i="1" s="1"/>
  <c r="I150" i="9"/>
  <c r="C25" i="9" s="1"/>
  <c r="E76" i="1" s="1"/>
  <c r="J158" i="9"/>
  <c r="J159" i="9" s="1"/>
  <c r="D26" i="9" s="1"/>
  <c r="G77" i="1" s="1"/>
  <c r="I159" i="9"/>
  <c r="C26" i="9" s="1"/>
  <c r="E77" i="1" s="1"/>
  <c r="J167" i="9"/>
  <c r="J168" i="9" s="1"/>
  <c r="D27" i="9" s="1"/>
  <c r="G78" i="1" s="1"/>
  <c r="I168" i="9"/>
  <c r="C27" i="9" s="1"/>
  <c r="E78" i="1" s="1"/>
  <c r="K181" i="9"/>
  <c r="K190" i="9"/>
  <c r="K191" i="9" s="1"/>
  <c r="E29" i="9" s="1"/>
  <c r="I80" i="1" s="1"/>
  <c r="J97" i="9"/>
  <c r="D19" i="9" s="1"/>
  <c r="K176" i="9"/>
  <c r="J190" i="9"/>
  <c r="J191" i="9" s="1"/>
  <c r="D29" i="9" s="1"/>
  <c r="G80" i="1" s="1"/>
  <c r="I134" i="6"/>
  <c r="C21" i="6" s="1"/>
  <c r="D72" i="1" s="1"/>
  <c r="J133" i="6"/>
  <c r="J134" i="6" s="1"/>
  <c r="D21" i="6" s="1"/>
  <c r="J66" i="6"/>
  <c r="J70" i="6" s="1"/>
  <c r="K68" i="6"/>
  <c r="K67" i="6"/>
  <c r="L47" i="6"/>
  <c r="N42" i="6"/>
  <c r="N47" i="6" s="1"/>
  <c r="E13" i="6" s="1"/>
  <c r="H66" i="1" s="1"/>
  <c r="M45" i="6"/>
  <c r="M43" i="6"/>
  <c r="M46" i="6"/>
  <c r="M44" i="6"/>
  <c r="C15" i="6"/>
  <c r="D67" i="1" s="1"/>
  <c r="K70" i="6" l="1"/>
  <c r="F72" i="1"/>
  <c r="C14" i="9"/>
  <c r="E67" i="1" s="1"/>
  <c r="J226" i="6"/>
  <c r="D30" i="6" s="1"/>
  <c r="F79" i="1" s="1"/>
  <c r="K226" i="6"/>
  <c r="E30" i="6" s="1"/>
  <c r="H79" i="1" s="1"/>
  <c r="C15" i="9"/>
  <c r="E82" i="1" s="1"/>
  <c r="J123" i="9"/>
  <c r="D21" i="9" s="1"/>
  <c r="G73" i="1" s="1"/>
  <c r="J58" i="6"/>
  <c r="D15" i="6" s="1"/>
  <c r="F67" i="1" s="1"/>
  <c r="E16" i="6"/>
  <c r="C13" i="6"/>
  <c r="D66" i="1" s="1"/>
  <c r="E22" i="6"/>
  <c r="H72" i="1" s="1"/>
  <c r="D68" i="1"/>
  <c r="C30" i="6"/>
  <c r="D79" i="1" s="1"/>
  <c r="I72" i="1"/>
  <c r="G72" i="1"/>
  <c r="H74" i="1"/>
  <c r="F74" i="1"/>
  <c r="E74" i="1"/>
  <c r="C22" i="9"/>
  <c r="G74" i="1"/>
  <c r="K60" i="9"/>
  <c r="E15" i="9" s="1"/>
  <c r="I82" i="1" s="1"/>
  <c r="J182" i="9"/>
  <c r="D28" i="9" s="1"/>
  <c r="G79" i="1" s="1"/>
  <c r="K182" i="9"/>
  <c r="E28" i="9" s="1"/>
  <c r="J60" i="9"/>
  <c r="D15" i="9" s="1"/>
  <c r="G82" i="1" s="1"/>
  <c r="M42" i="9"/>
  <c r="D12" i="9" s="1"/>
  <c r="G66" i="1" s="1"/>
  <c r="D16" i="6"/>
  <c r="F68" i="1" s="1"/>
  <c r="M47" i="6"/>
  <c r="D13" i="6" s="1"/>
  <c r="K239" i="8"/>
  <c r="I50" i="1" s="1"/>
  <c r="J239" i="8"/>
  <c r="G50" i="1" s="1"/>
  <c r="N218" i="8"/>
  <c r="N219" i="8" s="1"/>
  <c r="M218" i="8"/>
  <c r="M219" i="8" s="1"/>
  <c r="L218" i="8"/>
  <c r="L219" i="8" s="1"/>
  <c r="N210" i="8"/>
  <c r="I40" i="1" s="1"/>
  <c r="M210" i="8"/>
  <c r="G40" i="1" s="1"/>
  <c r="L210" i="8"/>
  <c r="E40" i="1" s="1"/>
  <c r="C191" i="8"/>
  <c r="C188" i="8"/>
  <c r="C187" i="8"/>
  <c r="F187" i="8" s="1"/>
  <c r="C65" i="8"/>
  <c r="C11" i="9" l="1"/>
  <c r="C32" i="9" s="1"/>
  <c r="E64" i="1"/>
  <c r="E61" i="1" s="1"/>
  <c r="C24" i="6"/>
  <c r="C12" i="6" s="1"/>
  <c r="G17" i="2" s="1"/>
  <c r="D64" i="1"/>
  <c r="E24" i="6"/>
  <c r="E12" i="6" s="1"/>
  <c r="D24" i="6"/>
  <c r="D12" i="6" s="1"/>
  <c r="G64" i="1"/>
  <c r="I79" i="1"/>
  <c r="I64" i="1" s="1"/>
  <c r="E22" i="9"/>
  <c r="E11" i="9" s="1"/>
  <c r="F66" i="1"/>
  <c r="F64" i="1" s="1"/>
  <c r="D22" i="9"/>
  <c r="D11" i="9" s="1"/>
  <c r="H68" i="1"/>
  <c r="H64" i="1" s="1"/>
  <c r="G29" i="2" l="1"/>
  <c r="G25" i="2" s="1"/>
  <c r="G15" i="2"/>
  <c r="E32" i="9"/>
  <c r="I25" i="2"/>
  <c r="D32" i="9"/>
  <c r="H29" i="2"/>
  <c r="H25" i="2" s="1"/>
  <c r="C34" i="6"/>
  <c r="D34" i="6"/>
  <c r="H17" i="2"/>
  <c r="H15" i="2" s="1"/>
  <c r="E34" i="6"/>
  <c r="I17" i="2"/>
  <c r="I15" i="2" s="1"/>
  <c r="G14" i="2" l="1"/>
  <c r="G6" i="2" s="1"/>
  <c r="H14" i="2"/>
  <c r="H33" i="2" s="1"/>
  <c r="H32" i="2" s="1"/>
  <c r="I14" i="2"/>
  <c r="I33" i="2" s="1"/>
  <c r="I32" i="2" s="1"/>
  <c r="G196" i="8"/>
  <c r="G33" i="2" l="1"/>
  <c r="G32" i="2" s="1"/>
  <c r="H6" i="2"/>
  <c r="I6" i="2"/>
  <c r="G186" i="8"/>
  <c r="G185" i="8" s="1"/>
  <c r="G190" i="8"/>
  <c r="G192" i="8"/>
  <c r="H190" i="8"/>
  <c r="H186" i="8"/>
  <c r="H185" i="8" s="1"/>
  <c r="H196" i="8"/>
  <c r="H192" i="8"/>
  <c r="G189" i="8" l="1"/>
  <c r="G197" i="8" s="1"/>
  <c r="C192" i="8"/>
  <c r="F192" i="8" s="1"/>
  <c r="C11" i="8"/>
  <c r="C14" i="8" s="1"/>
  <c r="E39" i="1" s="1"/>
  <c r="C196" i="8"/>
  <c r="F196" i="8" s="1"/>
  <c r="C186" i="8"/>
  <c r="F186" i="8" s="1"/>
  <c r="F185" i="8" s="1"/>
  <c r="C190" i="8"/>
  <c r="F190" i="8" s="1"/>
  <c r="D14" i="8"/>
  <c r="G39" i="1"/>
  <c r="E14" i="8"/>
  <c r="I39" i="1"/>
  <c r="H189" i="8"/>
  <c r="H197" i="8" s="1"/>
  <c r="F189" i="8" l="1"/>
  <c r="F197" i="8" s="1"/>
  <c r="D174" i="8"/>
  <c r="E174" i="8"/>
  <c r="E177" i="8" s="1"/>
  <c r="I44" i="1" s="1"/>
  <c r="C174" i="8" l="1"/>
  <c r="C177" i="8" s="1"/>
  <c r="D177" i="8"/>
  <c r="G44" i="1"/>
  <c r="C192" i="5"/>
  <c r="C168" i="5"/>
  <c r="C118" i="5"/>
  <c r="C68" i="5"/>
  <c r="E44" i="1" l="1"/>
  <c r="E195" i="5" l="1"/>
  <c r="H195" i="5" s="1"/>
  <c r="I23" i="1"/>
  <c r="I16" i="1" s="1"/>
  <c r="G23" i="1"/>
  <c r="G16" i="1" s="1"/>
  <c r="E16" i="1"/>
  <c r="F61" i="1"/>
  <c r="G61" i="1"/>
  <c r="H61" i="1"/>
  <c r="I61" i="1"/>
  <c r="D61" i="1"/>
  <c r="G52" i="1"/>
  <c r="I52" i="1"/>
  <c r="E48" i="1"/>
  <c r="G48" i="1"/>
  <c r="I48" i="1"/>
  <c r="H50" i="1"/>
  <c r="F50" i="1"/>
  <c r="D50" i="1"/>
  <c r="H52" i="1"/>
  <c r="F52" i="1"/>
  <c r="J248" i="5"/>
  <c r="K248" i="5"/>
  <c r="M220" i="5"/>
  <c r="M221" i="5" s="1"/>
  <c r="N220" i="5"/>
  <c r="N221" i="5" s="1"/>
  <c r="L220" i="5"/>
  <c r="L221" i="5" s="1"/>
  <c r="E199" i="5" l="1"/>
  <c r="H199" i="5" s="1"/>
  <c r="E11" i="5"/>
  <c r="E14" i="5" s="1"/>
  <c r="H39" i="1" s="1"/>
  <c r="E191" i="5"/>
  <c r="H191" i="5" s="1"/>
  <c r="H190" i="5" s="1"/>
  <c r="E194" i="5"/>
  <c r="H194" i="5" s="1"/>
  <c r="H193" i="5" s="1"/>
  <c r="D195" i="5"/>
  <c r="G195" i="5" s="1"/>
  <c r="D191" i="5"/>
  <c r="G191" i="5" s="1"/>
  <c r="G190" i="5" s="1"/>
  <c r="D199" i="5"/>
  <c r="G199" i="5" s="1"/>
  <c r="D194" i="5"/>
  <c r="G194" i="5" s="1"/>
  <c r="D11" i="5"/>
  <c r="D14" i="5" s="1"/>
  <c r="F39" i="1" s="1"/>
  <c r="F48" i="1"/>
  <c r="H48" i="1"/>
  <c r="D48" i="1"/>
  <c r="M229" i="5"/>
  <c r="M230" i="5" s="1"/>
  <c r="F40" i="1" s="1"/>
  <c r="N229" i="5"/>
  <c r="N230" i="5" s="1"/>
  <c r="H40" i="1" s="1"/>
  <c r="L229" i="5"/>
  <c r="L230" i="5" s="1"/>
  <c r="D40" i="1" s="1"/>
  <c r="H200" i="5" l="1"/>
  <c r="E179" i="5"/>
  <c r="E182" i="5" s="1"/>
  <c r="H44" i="1" s="1"/>
  <c r="G43" i="1"/>
  <c r="G38" i="1" s="1"/>
  <c r="G37" i="1" s="1"/>
  <c r="G92" i="1" s="1"/>
  <c r="G193" i="5"/>
  <c r="I43" i="1"/>
  <c r="I38" i="1" s="1"/>
  <c r="H43" i="1" l="1"/>
  <c r="H38" i="1" s="1"/>
  <c r="D179" i="5"/>
  <c r="D182" i="5" s="1"/>
  <c r="F44" i="1" s="1"/>
  <c r="I37" i="1"/>
  <c r="I92" i="1" s="1"/>
  <c r="C11" i="5"/>
  <c r="C14" i="5" s="1"/>
  <c r="D39" i="1" s="1"/>
  <c r="E136" i="3"/>
  <c r="D136" i="3"/>
  <c r="C136" i="3"/>
  <c r="D141" i="3" l="1"/>
  <c r="F29" i="1"/>
  <c r="E141" i="3"/>
  <c r="H29" i="1"/>
  <c r="C141" i="3"/>
  <c r="D29" i="1"/>
  <c r="H37" i="1"/>
  <c r="F43" i="1"/>
  <c r="F38" i="1" s="1"/>
  <c r="K78" i="3"/>
  <c r="J78" i="3"/>
  <c r="I78" i="3"/>
  <c r="C179" i="5" l="1"/>
  <c r="C182" i="5" s="1"/>
  <c r="D44" i="1" s="1"/>
  <c r="E61" i="3"/>
  <c r="H22" i="1" s="1"/>
  <c r="H16" i="1" s="1"/>
  <c r="H92" i="1" s="1"/>
  <c r="C61" i="3"/>
  <c r="C60" i="3" s="1"/>
  <c r="C67" i="3" s="1"/>
  <c r="F37" i="1"/>
  <c r="D61" i="3"/>
  <c r="E60" i="3" l="1"/>
  <c r="E67" i="3" s="1"/>
  <c r="D22" i="1"/>
  <c r="D16" i="1" s="1"/>
  <c r="F22" i="1"/>
  <c r="D60" i="3"/>
  <c r="D67" i="3" s="1"/>
  <c r="D43" i="1" l="1"/>
  <c r="F16" i="1"/>
  <c r="F92" i="1" s="1"/>
  <c r="E43" i="1"/>
  <c r="E38" i="1" s="1"/>
  <c r="D38" i="1" l="1"/>
  <c r="D37" i="1" s="1"/>
  <c r="D92" i="1" s="1"/>
  <c r="E37" i="1"/>
  <c r="E92" i="1" s="1"/>
</calcChain>
</file>

<file path=xl/sharedStrings.xml><?xml version="1.0" encoding="utf-8"?>
<sst xmlns="http://schemas.openxmlformats.org/spreadsheetml/2006/main" count="5125" uniqueCount="713">
  <si>
    <t>первый год планового периода</t>
  </si>
  <si>
    <t>х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</si>
  <si>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</si>
  <si>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 xml:space="preserve"> ПЛАН</t>
  </si>
  <si>
    <t>Раздел 1. Поступления и выплаты</t>
  </si>
  <si>
    <t>Раздел 2. Сведения по выплатам на закупки товаров, работ, услуг</t>
  </si>
  <si>
    <t>Раздел 3. Обоснования (расчеты) плановых показателей поступлений и выплат</t>
  </si>
  <si>
    <t>на 2020 г.</t>
  </si>
  <si>
    <t>на 2021 г.</t>
  </si>
  <si>
    <t>на 2022 г.</t>
  </si>
  <si>
    <t>Наименование показателя</t>
  </si>
  <si>
    <t>Код строки</t>
  </si>
  <si>
    <t>Код по бюджетной классификации Российской Федерации</t>
  </si>
  <si>
    <t>Сумма, руб. (с точностью до двух знаков после запятой - 0,00)</t>
  </si>
  <si>
    <t>за пределами планового периода</t>
  </si>
  <si>
    <t>текущий финансовый год</t>
  </si>
  <si>
    <t>второй год планового периода</t>
  </si>
  <si>
    <t>субсидии</t>
  </si>
  <si>
    <t>поступления от приносящей доход деятельности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</si>
  <si>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</si>
  <si>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</si>
  <si>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</si>
  <si>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</si>
  <si>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</si>
  <si>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</si>
  <si>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</si>
  <si>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</si>
  <si>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</si>
  <si>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</si>
  <si>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</si>
  <si>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Остаток средств на начало текущего финансового года</t>
  </si>
  <si>
    <t>0001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</si>
  <si>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</si>
  <si>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</si>
  <si>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</si>
  <si>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</si>
  <si>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</si>
  <si>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</si>
  <si>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</si>
  <si>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в том числе: доходы, получаемые в виде арендной либо иной платы за передачу в возмездное пользование муниципального имущества</t>
  </si>
  <si>
    <t>1110</t>
  </si>
  <si>
    <t>доходы в виде процентов по депозитам автономных учреждений в кредитных организациях</t>
  </si>
  <si>
    <t>1120</t>
  </si>
  <si>
    <t>1130</t>
  </si>
  <si>
    <t>доходы от оказания услуг, работ, компенсации затрат учреждений, всего</t>
  </si>
  <si>
    <t>1200</t>
  </si>
  <si>
    <t>130</t>
  </si>
  <si>
    <t>в том числе: субсидии на финансовое обеспечение выполнения муниципального задания</t>
  </si>
  <si>
    <t>1210</t>
  </si>
  <si>
    <t>доходы от оказания услуг, выполнения работ, в рамках установленного муниципального задания</t>
  </si>
  <si>
    <t>1220</t>
  </si>
  <si>
    <t>1230</t>
  </si>
  <si>
    <t>доходы, поступающие в порядке возмещения расходов, понесенных в связи с эксплуатацией имущества, находящегося в оперативном управлении учреждения</t>
  </si>
  <si>
    <t>1240</t>
  </si>
  <si>
    <t>доходы от штрафов, пеней, иных сумм принудительного изъятия, всего</t>
  </si>
  <si>
    <t>1300</t>
  </si>
  <si>
    <t>140</t>
  </si>
  <si>
    <t>в том числе: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</si>
  <si>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</si>
  <si>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</si>
  <si>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</si>
  <si>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</si>
  <si>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</si>
  <si>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180</t>
  </si>
  <si>
    <t>в том числе: 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</si>
  <si>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</si>
  <si>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</si>
  <si>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</si>
  <si>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прочие поступления, всего</t>
  </si>
  <si>
    <t>1980</t>
  </si>
  <si>
    <t>из них: 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</si>
  <si>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</si>
  <si>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</si>
  <si>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</si>
  <si>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</si>
  <si>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 на выплаты персоналу, всего</t>
  </si>
  <si>
    <t>2100</t>
  </si>
  <si>
    <t xml:space="preserve">учреждения)                       </t>
  </si>
  <si>
    <t>СОГЛАСОВАНО</t>
  </si>
  <si>
    <t>3.1. Обоснование (расчет) плановых показателей поступлений доходов по статье 120 "Доходы от собственности"</t>
  </si>
  <si>
    <t>3.1.1. Обоснование (расчет) плановых показателей поступлений доходов по статье 120 "Доходы от собственности"</t>
  </si>
  <si>
    <t>Сумма, руб.</t>
  </si>
  <si>
    <t>(текущий финансовый год)</t>
  </si>
  <si>
    <t>(первый год планового периода)</t>
  </si>
  <si>
    <t>(второй год планового периода)</t>
  </si>
  <si>
    <t>Задолженность по доходам (дебиторская задолженность по доходам) на начало года</t>
  </si>
  <si>
    <t>0100</t>
  </si>
  <si>
    <t>Полученные предварительные платежи (авансы) по контрактам (договорам) (кредиторская задолженность по доходам) на начало года</t>
  </si>
  <si>
    <t>0200</t>
  </si>
  <si>
    <t>Доходы от собственности, всего</t>
  </si>
  <si>
    <t>0300</t>
  </si>
  <si>
    <t>0310</t>
  </si>
  <si>
    <t>плата по соглашениям об установлении сервитута</t>
  </si>
  <si>
    <t>0320</t>
  </si>
  <si>
    <t>0330</t>
  </si>
  <si>
    <t>доходы в виде процентов по остаткам средств на счетах автономных учреждений в кредитных организациях</t>
  </si>
  <si>
    <t>0340</t>
  </si>
  <si>
    <t>проценты, полученные от предоставления займов</t>
  </si>
  <si>
    <t>0350</t>
  </si>
  <si>
    <t>проценты по иным финансовым инструментам</t>
  </si>
  <si>
    <t>0360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</si>
  <si>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</si>
  <si>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0370</t>
  </si>
  <si>
    <t>доходы от распоряжения правами на результаты интеллектуальной деятельности и средствами индивидуализации</t>
  </si>
  <si>
    <t>0380</t>
  </si>
  <si>
    <t>прочие поступления от использования имущества, находящегося в оперативном управлении учреждения</t>
  </si>
  <si>
    <t>0390</t>
  </si>
  <si>
    <t>Задолженность по доходам (дебиторская задолженность по доходам) на конец года</t>
  </si>
  <si>
    <t>0400</t>
  </si>
  <si>
    <t>Полученные предварительные платежи (авансы) по контрактам (договорам) (кредиторская задолженность по доходам) на конец года</t>
  </si>
  <si>
    <t>0500</t>
  </si>
  <si>
    <t>Планируемые поступления доходов от собственности (с. 0100 - с. 0200 + с. 0300 - с. 0400 + с. 0500)</t>
  </si>
  <si>
    <t>0600</t>
  </si>
  <si>
    <t>3.1.2. Расчет доходов в виде арендной либо иной платы за передачу в возмездное пользование муниципального имущества</t>
  </si>
  <si>
    <t>Наименован ие объекта</t>
  </si>
  <si>
    <t>Плата (тариф) арендной платы за единицу площади (объект), руб.</t>
  </si>
  <si>
    <t>Планируемый объем предоставления имущества в аренду (в натуральных показателях)</t>
  </si>
  <si>
    <t>Объем планируемых поступлений, руб.</t>
  </si>
  <si>
    <t>Недвижимое имущество, всего</t>
  </si>
  <si>
    <t>в том числе</t>
  </si>
  <si>
    <t>Движимое имущество, всего</t>
  </si>
  <si>
    <t>Итого</t>
  </si>
  <si>
    <t>9000</t>
  </si>
  <si>
    <t>3.1.3. Расчет доходов в виде процентов по депозитам автономных учреждений в кредитных организациях</t>
  </si>
  <si>
    <t>Среднегодовой объем средств, на которые начисляются проценты, руб.</t>
  </si>
  <si>
    <t>Сумма доходов в виде процентов, руб.</t>
  </si>
  <si>
    <t>(текущий финансовы й год)</t>
  </si>
  <si>
    <t>Ставка, %</t>
  </si>
  <si>
    <t>Доходы от оказания услуг, работ, компенсации затрат учреждений, всего</t>
  </si>
  <si>
    <t>доходы от оказания услуг, выполнения работ в рамках установленного муниципального задания</t>
  </si>
  <si>
    <t>Планируемые поступления доходов от оказания услуг, компенсации затрат учреждения (с. 0100 - с. 0200 + с. 0300 - с. 0400 + с. 0500)</t>
  </si>
  <si>
    <t>3.2.2. Расчет доходов в виде субсидии на финансовое обеспечение выполнения муниципального задания</t>
  </si>
  <si>
    <t>Плата (тариф) за единицу услуги (работы), руб.</t>
  </si>
  <si>
    <t>Планируемый объем оказания услуг (выполнения работ)</t>
  </si>
  <si>
    <t>Общий объем планируемых поступлений, руб.</t>
  </si>
  <si>
    <t>3.2.3. Расчет доходов от оказания услуг, выполнения работ в рамках установленного муниципального задания</t>
  </si>
  <si>
    <t>Вид возмещаемых расходов</t>
  </si>
  <si>
    <t>Объем услуг, планируемый к возмещению</t>
  </si>
  <si>
    <t>3.3. Обоснование (расчет) плановых показателей поступлений доходов</t>
  </si>
  <si>
    <t>Излишне полученные либо взысканные платежи (кредиторская задолженность по доходам) на начало года</t>
  </si>
  <si>
    <t>Доходы от штрафов, пеней, иных сумм принудительного изъятия, всего</t>
  </si>
  <si>
    <t>в том числе: штрафы</t>
  </si>
  <si>
    <t>пени</t>
  </si>
  <si>
    <t>суммы принудительного изъятия</t>
  </si>
  <si>
    <t>Излишне полученные либо взысканные платежи (кредиторская задолженность по доходам) на конец года</t>
  </si>
  <si>
    <t>Планируемые поступления доходов от штрафов, пеней, иных сумм принудительного изъятия</t>
  </si>
  <si>
    <t>(с. 0100 - с. 0200 + с. 0300 -с. 0400 + с. 0500)</t>
  </si>
  <si>
    <t>Доходы прочие, всего</t>
  </si>
  <si>
    <t>Доходы от операций с активами, всего</t>
  </si>
  <si>
    <t>в том числе: реализация неиспользуемого имущества</t>
  </si>
  <si>
    <t>реализация утиля, лома черных и цветных металлов</t>
  </si>
  <si>
    <t>Полученные предварительные платежи</t>
  </si>
  <si>
    <t>(авансы) по контрактам (договорам) (кредиторская задолженность по доходам) на конец года</t>
  </si>
  <si>
    <t>Задолженность перед персоналом по оплате труда (кредиторская задолженность) на начало года</t>
  </si>
  <si>
    <t>Задолженность персонала по полученным авансам (дебиторская задолженность) на начало года</t>
  </si>
  <si>
    <t>Фонд оплаты труда</t>
  </si>
  <si>
    <t>Задолженность перед персоналом по оплате труда (кредиторская задолженность) на конец года</t>
  </si>
  <si>
    <t>Задолженность персонала по полученным авансам (дебиторская задолженность) на конец года</t>
  </si>
  <si>
    <t>Планируемые выплаты на оплату труда (с. 0100 - с. 0200 + с. 0300 - с. 0400 + с. 0500)</t>
  </si>
  <si>
    <t>3.6.2. Расчет фонда оплаты труда</t>
  </si>
  <si>
    <t>Должность, 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</si>
  <si>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</si>
  <si>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</si>
  <si>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Фонд оплаты труда в год (гр. 3 x гр. 4 x 12)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</si>
  <si>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</si>
  <si>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</si>
  <si>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</si>
  <si>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северная надбавка</t>
  </si>
  <si>
    <t>районный коэффициент</t>
  </si>
  <si>
    <t>%</t>
  </si>
  <si>
    <t>сумма (гр. 5 + гр. 6 + гр. 7) x гр. 8 / 100</t>
  </si>
  <si>
    <t>сумма (гр. 5 + гр. 6 + гр. 7) x гр. 10 / 100</t>
  </si>
  <si>
    <t>12</t>
  </si>
  <si>
    <t>Задолженность по обязательствам (кредиторская задолженность) на начало года</t>
  </si>
  <si>
    <t>Сумма излишне уплаченных либо излишне взысканных страховых взносов (дебиторская задолженность) на начало года</t>
  </si>
  <si>
    <t>Страховые взносы на обязательное социальное страхование</t>
  </si>
  <si>
    <t>Задолженность по уплате страховых взносов (кредиторская задолженность) на конец года</t>
  </si>
  <si>
    <t>Сумма излишне уплаченных либо излишне взысканных страховых взносов (дебиторская задолженность) на конец года</t>
  </si>
  <si>
    <t>Планируемые выплаты на страховые взносы на обязательное социальное страхование (с. 0100 - с. 0200 + с. 0300 -с. 0400 + с. 0500)</t>
  </si>
  <si>
    <t>Наименование государственного внебюджетного фонда</t>
  </si>
  <si>
    <t>Размер базы для начисления страховых взносов, руб.</t>
  </si>
  <si>
    <t>Сумма взноса, руб.</t>
  </si>
  <si>
    <t>Страховые взносы в Пенсионный фонд Российской Федерации, всего</t>
  </si>
  <si>
    <t>в том числе: по ставке 22,0%</t>
  </si>
  <si>
    <t>0110</t>
  </si>
  <si>
    <t>по ставке 10,0%</t>
  </si>
  <si>
    <t>0120</t>
  </si>
  <si>
    <t>с применением пониженных тарифов взносов в Пенсионный фонд Российской Федерации для отдельных категорий плательщиков</t>
  </si>
  <si>
    <t>0130</t>
  </si>
  <si>
    <t>Страховые взносы в Фонд социального страхования Российской Федерации, всего</t>
  </si>
  <si>
    <t>в том числе: обязательное социальное страхование на случай временной нетрудоспособности и в связи с материнством по ставке 2,9%</t>
  </si>
  <si>
    <t>0210</t>
  </si>
  <si>
    <t>с применением ставки взносов в Фонд социального страхования Российской Федерации по ставке 0,0%</t>
  </si>
  <si>
    <t>0220</t>
  </si>
  <si>
    <t>0230</t>
  </si>
  <si>
    <t>обязательное социальное страхование от несчастных случаев на производстве и профессиональных заболеваний по ставке ____% &lt;*&gt;</t>
  </si>
  <si>
    <t>0240</t>
  </si>
  <si>
    <t>Страховые взносы в Федеральный фонд обязательного медицинского страхования, всего</t>
  </si>
  <si>
    <t>в том числе: страховые взносы на обязательное медицинское страхование по ставке 5,1%</t>
  </si>
  <si>
    <t>Наименование расходов</t>
  </si>
  <si>
    <t>Средний размер выплаты на одного работника в день, руб.</t>
  </si>
  <si>
    <t>Количество работников, чел.</t>
  </si>
  <si>
    <t>Количество дней, дн.</t>
  </si>
  <si>
    <t>13</t>
  </si>
  <si>
    <t>14</t>
  </si>
  <si>
    <t>3.8.2 Обоснование (расчет) выплат персоналу по уходу за ребенком</t>
  </si>
  <si>
    <t>Численность работников, получающих пособие, чел.</t>
  </si>
  <si>
    <t>Количество выплат в год на одного работника, шт.</t>
  </si>
  <si>
    <t>Размер выплаты (пособия) в месяц, руб.</t>
  </si>
  <si>
    <t>Размер одной выплаты, руб.</t>
  </si>
  <si>
    <t>Количество выплат в год</t>
  </si>
  <si>
    <t>Общая сумма выплат, руб.</t>
  </si>
  <si>
    <t>Налоговая база, руб.</t>
  </si>
  <si>
    <t>Ставка налога, %</t>
  </si>
  <si>
    <t>Сумма начисленного налога, подлежащего уплате, руб.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</si>
  <si>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начало года</t>
  </si>
  <si>
    <t>Произведенные предварительные платежи (авансы) по контрактам (договорам) (дебиторская задолженность) на начало года</t>
  </si>
  <si>
    <t>Расходы на закупку товаров, работ и услуг, всего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</si>
  <si>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</si>
  <si>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</si>
  <si>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</si>
  <si>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</si>
  <si>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</si>
  <si>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</si>
  <si>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</si>
  <si>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</si>
  <si>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</si>
  <si>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Задолженность по принятым и неисполненным обязательствам, полученные предварительные платежи (авансы) по контрактам (договорам) (кредиторская задолженность) на конец года</t>
  </si>
  <si>
    <t>Произведенные предварительные платежи (авансы) по контрактам (договорам) (дебиторская задолженность) на конец года</t>
  </si>
  <si>
    <t>Планируемые выплаты на закупку товаров, работ и услуг (с. 0100 - с. 0200 + с. 0300 - с. 0400 + с. 0500)</t>
  </si>
  <si>
    <t>Количество номеров, ед.</t>
  </si>
  <si>
    <t>Количество платежей в год</t>
  </si>
  <si>
    <t>Стоимость за единицу, руб.</t>
  </si>
  <si>
    <t>Код строк и</t>
  </si>
  <si>
    <t>Количество услуг перевозки</t>
  </si>
  <si>
    <t>Цена услуги перевозки, руб.</t>
  </si>
  <si>
    <t>Расчетное потребление ресурсов</t>
  </si>
  <si>
    <t>Тариф (с учетом НДС), руб.</t>
  </si>
  <si>
    <t>Арендуемая площадь (количество объектов), кв. м (ед.)</t>
  </si>
  <si>
    <t>Продолжительность аренды (месяц, день, час)</t>
  </si>
  <si>
    <t>Цена аренды в месяц (день, час), руб.</t>
  </si>
  <si>
    <t>Объект</t>
  </si>
  <si>
    <t>Количество работ (услуг)</t>
  </si>
  <si>
    <t>Количество застрахованных сотрудников, застрахованного имущества, чел. (ед.)</t>
  </si>
  <si>
    <t>Базовые ставки страховых тарифов с учетом поправочных коэффициентов к ним, руб.</t>
  </si>
  <si>
    <t>Количество работников, направляемых на повышение квалификации (переподготовку), чел.</t>
  </si>
  <si>
    <t>Цена обучения одного работника, руб.</t>
  </si>
  <si>
    <t>на 2021г.</t>
  </si>
  <si>
    <t>3.1.4. Расчет доходов в виде процентов по остаткам средств на счетах автономных учреждений в кредитных организациях</t>
  </si>
  <si>
    <t>3.2. Обоснование (расчет) плановых показателей поступлений доходов по статье 130 "Доходы от оказания услуг, работ, компенсации затрат учреждений"</t>
  </si>
  <si>
    <t>3.2.1. Обоснование (расчет) плановых показателей поступлений доходов по статье 130 "Доходы от оказания услуг, работ, компенсации затрат учреждений"</t>
  </si>
  <si>
    <t>доходы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</si>
  <si>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</si>
  <si>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</si>
  <si>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</si>
  <si>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</si>
  <si>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</si>
  <si>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в т.ч.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</si>
  <si>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</si>
  <si>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</si>
  <si>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</si>
  <si>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</si>
  <si>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</si>
  <si>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 на выплаты по оплате труда</t>
  </si>
  <si>
    <t>2141</t>
  </si>
  <si>
    <t>на иные выплаты работникам</t>
  </si>
  <si>
    <t>2142</t>
  </si>
  <si>
    <t>социальные и иные выплаты населению, всего, в т.ч.</t>
  </si>
  <si>
    <t>2200</t>
  </si>
  <si>
    <t>300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</si>
  <si>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</si>
  <si>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</si>
  <si>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</si>
  <si>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</si>
  <si>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</si>
  <si>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</si>
  <si>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</si>
  <si>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</si>
  <si>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</si>
  <si>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 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</si>
  <si>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</si>
  <si>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</si>
  <si>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</si>
  <si>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</si>
  <si>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2410</t>
  </si>
  <si>
    <t>взносы в международные организации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</si>
  <si>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</si>
  <si>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</si>
  <si>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</si>
  <si>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</si>
  <si>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</si>
  <si>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</si>
  <si>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</si>
  <si>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</si>
  <si>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</si>
  <si>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</si>
  <si>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научноисследовательских и опытно- конструкторских работ</t>
  </si>
  <si>
    <t>2610</t>
  </si>
  <si>
    <t>241</t>
  </si>
  <si>
    <t>закупку товаров, работ, услуг в целях капитального ремонта муниципального имущества</t>
  </si>
  <si>
    <t>2630</t>
  </si>
  <si>
    <t>243</t>
  </si>
  <si>
    <t>прочую закупку товаров, работ и услуг, всего</t>
  </si>
  <si>
    <t>2640</t>
  </si>
  <si>
    <t>из них:</t>
  </si>
  <si>
    <t>капитальные вложения в объекты муниципальной собственности, всего</t>
  </si>
  <si>
    <t>400</t>
  </si>
  <si>
    <t>в том числе: приобретение объектов недвижимого имущества муниципальными учреждениями</t>
  </si>
  <si>
    <t>406</t>
  </si>
  <si>
    <t>строительство (реконструкция) объектов недвижимого имущества муниципальными учреждениями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</si>
  <si>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</si>
  <si>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</si>
  <si>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</si>
  <si>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</si>
  <si>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</si>
  <si>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</si>
  <si>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</si>
  <si>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</si>
  <si>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</si>
  <si>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</si>
  <si>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</si>
  <si>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</si>
  <si>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</si>
  <si>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</si>
  <si>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</si>
  <si>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r>
      <rPr>
        <sz val="11"/>
        <rFont val="Times New Roman"/>
        <family val="1"/>
        <charset val="204"/>
      </rPr>
      <t>ФИНАНСОВО-ХОЗЯЙСТВЕННОЙ ДЕЯТЕЛЬНОСТИ</t>
    </r>
  </si>
  <si>
    <r>
      <rPr>
        <sz val="11"/>
        <rFont val="Times New Roman"/>
        <family val="1"/>
        <charset val="204"/>
      </rPr>
      <t>МУНИЦИПАЛЬНОГО УЧРЕЖДЕНИЯ</t>
    </r>
  </si>
  <si>
    <t>N п/п</t>
  </si>
  <si>
    <t>Коды строк</t>
  </si>
  <si>
    <t>Год начала закупки</t>
  </si>
  <si>
    <t>Сумма</t>
  </si>
  <si>
    <t>Выплаты на закупку товаров, работ, услуг, всего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</si>
  <si>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</si>
  <si>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</si>
  <si>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от 05.04.2013 N 44-ФЗ "О контрактной системе в сфере закупок товаров, работ, услуг для обеспечения государственных и муниципальных нужд" (далее -Федеральный закон N 44-ФЗ) и Федерального закона от 18.07.2011 N 223-ФЗ "О закупках товаров, работ, услуг отдельными видами юридических лиц" (далее - Федеральный закон N 223-ФЗ)</t>
  </si>
  <si>
    <t>26100</t>
  </si>
  <si>
    <t>1.2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</si>
  <si>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</si>
  <si>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</si>
  <si>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</si>
  <si>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</si>
  <si>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</si>
  <si>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</si>
  <si>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</si>
  <si>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</si>
  <si>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</si>
  <si>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</si>
  <si>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</si>
  <si>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 в соответствии с Федеральным законом N 44-ФЗ</t>
  </si>
  <si>
    <t>26411</t>
  </si>
  <si>
    <t>1.4.1.2</t>
  </si>
  <si>
    <t>в соответствии с Федеральным законом N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</si>
  <si>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</si>
  <si>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</si>
  <si>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</si>
  <si>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</si>
  <si>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</si>
  <si>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</si>
  <si>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</si>
  <si>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</si>
  <si>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</si>
  <si>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</si>
  <si>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</si>
  <si>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</si>
  <si>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прочих источников финансового обеспечения</t>
  </si>
  <si>
    <t>26450</t>
  </si>
  <si>
    <t>1.4.4.1</t>
  </si>
  <si>
    <t>26451</t>
  </si>
  <si>
    <t>1.4.4.2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</si>
  <si>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</si>
  <si>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</si>
  <si>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</si>
  <si>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</si>
  <si>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в том числе по году начала закупки:</t>
  </si>
  <si>
    <t>26510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</si>
  <si>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</si>
  <si>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</si>
  <si>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</si>
  <si>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26610</t>
  </si>
  <si>
    <r>
      <t xml:space="preserve">всего </t>
    </r>
    <r>
      <rPr>
        <vertAlign val="superscript"/>
        <sz val="10"/>
        <rFont val="Times New Roman"/>
        <family val="1"/>
        <charset val="204"/>
      </rPr>
      <t>(</t>
    </r>
    <r>
      <rPr>
        <sz val="10"/>
        <rFont val="Times New Roman"/>
        <family val="1"/>
        <charset val="204"/>
      </rPr>
      <t xml:space="preserve">гр. </t>
    </r>
    <r>
      <rPr>
        <vertAlign val="superscript"/>
        <sz val="10"/>
        <rFont val="Times New Roman"/>
        <family val="1"/>
        <charset val="204"/>
      </rPr>
      <t xml:space="preserve">5 </t>
    </r>
    <r>
      <rPr>
        <sz val="10"/>
        <rFont val="Times New Roman"/>
        <family val="1"/>
        <charset val="204"/>
      </rPr>
      <t>+ гр. 6 + гр. 7 + гр. 9 + гр. 11)</t>
    </r>
  </si>
  <si>
    <t>0003</t>
  </si>
  <si>
    <t>Формирование, сохранение, содержание и учет коллекций диких и домашних животных, растений</t>
  </si>
  <si>
    <t>3.2.4. Расчет доходов от оказания услуг, выполнения работ за плату сверх установленного муниципального задания и иной приносящей доход деятельности, предусмотренной уставом учреждения</t>
  </si>
  <si>
    <t>3.2.5. Расчет доходов, поступающих в порядке возмещения расходов, понесенных в связи с эксплуатацией имущества, находящегося в оперативном управлении учреждения</t>
  </si>
  <si>
    <t>по статье 140 "Доходы от штрафов, пеней, иных сумм принудительного изъятия"</t>
  </si>
  <si>
    <t>3.4. Обоснование (расчет) плановых показателей поступлений доходов по статье 180 "Прочие доходы"</t>
  </si>
  <si>
    <t>3.5. Обоснование (расчет) плановых показателей поступлений доходов по статье "Доходы от операций с активами"</t>
  </si>
  <si>
    <t>3.6. Обоснование (расчет) плановых показателей по выплатам по оплате труда работников учреждения</t>
  </si>
  <si>
    <t>3.7. Обоснование (расчет) плановых показателей по выплатам на страховые взносы по обязательному социальному страхованию</t>
  </si>
  <si>
    <t>обязательное социальное страхование от несчастных случаев на производстве и профессиональных заболеваний по ставке 0,28%</t>
  </si>
  <si>
    <t>&lt;*&gt; Указываются страховые тарифы, дифференцированные по классам профессионального риска, установленные Федеральным законом от 22.12.2005 N 179-ФЗ "О страховых тарифах на обязательное социальное страхование от несчастных случаев на производстве и профессиональных заболеваний на 2006 год".</t>
  </si>
  <si>
    <t>3.8. Обоснование (расчет) плановых показателей по выплатам компенсационного характера персоналу, за исключением фонда оплаты труда</t>
  </si>
  <si>
    <t>доходы от оказания услуг, выполнения работ, за плату сверх установленного муниципального задания и иной приносящей доход деятельности, предусмотренной уставом учреждения</t>
  </si>
  <si>
    <t>Выплаты персоналу при прохождении медицинского осмотра</t>
  </si>
  <si>
    <t>3.9. Обоснование (расчет) плановых показателей по выплатам на социальное обеспечение и иные выплаты населению</t>
  </si>
  <si>
    <t>на 2022  г.</t>
  </si>
  <si>
    <t>Государственные пошлины и сборы</t>
  </si>
  <si>
    <t>Оплата ежегодного членского взноса в ЕАРАЗА</t>
  </si>
  <si>
    <t>Директор</t>
  </si>
  <si>
    <t>Художественный руководитель</t>
  </si>
  <si>
    <t>Заведующий художественно-постановочной частью</t>
  </si>
  <si>
    <t>Заведующий отделом</t>
  </si>
  <si>
    <t>Заведующий сектором</t>
  </si>
  <si>
    <t>Режиссер</t>
  </si>
  <si>
    <t>Специалист по методике клубной работы</t>
  </si>
  <si>
    <t>Художник по свету</t>
  </si>
  <si>
    <t>Художник-конструктор (дизайнер)</t>
  </si>
  <si>
    <t>Методист</t>
  </si>
  <si>
    <t>Звукооператор</t>
  </si>
  <si>
    <t>Заведующий костюмерной</t>
  </si>
  <si>
    <t>Заведующий билетными кассами</t>
  </si>
  <si>
    <t>Столяр по изготовлению декораций</t>
  </si>
  <si>
    <t>Контролер билетов</t>
  </si>
  <si>
    <t>Механик</t>
  </si>
  <si>
    <t>Специалист по кадрам</t>
  </si>
  <si>
    <t>Рабочий по уходу за животными</t>
  </si>
  <si>
    <t>Кассир билетный</t>
  </si>
  <si>
    <t>Зоотехник</t>
  </si>
  <si>
    <t>Менеджер по культурно-массовому досугу</t>
  </si>
  <si>
    <t>Контрактный управляющий 5 уровня квалификации</t>
  </si>
  <si>
    <t>Специалист по охране труда</t>
  </si>
  <si>
    <t>Водитель автомобиля</t>
  </si>
  <si>
    <t>Заведующий отделом по эксплуатации аттракционной техники</t>
  </si>
  <si>
    <t>Рабочий зеленого хозяйства</t>
  </si>
  <si>
    <t>Тракторист</t>
  </si>
  <si>
    <t>0019</t>
  </si>
  <si>
    <t>0023</t>
  </si>
  <si>
    <t>0005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</si>
  <si>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</si>
  <si>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</si>
  <si>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</si>
  <si>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</si>
  <si>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</si>
  <si>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</si>
  <si>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</si>
  <si>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</si>
  <si>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</si>
  <si>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</si>
  <si>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</si>
  <si>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</si>
  <si>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</si>
  <si>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</si>
  <si>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0020</t>
  </si>
  <si>
    <t>0021</t>
  </si>
  <si>
    <t>0022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</si>
  <si>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</si>
  <si>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</si>
  <si>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</si>
  <si>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</si>
  <si>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</si>
  <si>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</si>
  <si>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</si>
  <si>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</si>
  <si>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</si>
  <si>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Налог на прибыль</t>
  </si>
  <si>
    <t>Налог на имущество организации</t>
  </si>
  <si>
    <r>
      <t>3.12. Обоснование (расчет) плановых показателей по прочим расходам (кроме расходов на закупку товаров, работ и услуг)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</si>
  <si>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3.11. Обоснование (расчет) плановых показателей по расходам на безвозмездное перечисление организациям и физическим лицам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</si>
  <si>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3.10. Обоснование (расчет) плановых показателей по расходам на уплату налогов, сборов и иных платежей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</si>
  <si>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3.8.1. Обоснование (расчет) выплат персоналу при направлении в служебные командировки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</si>
  <si>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3.7.2. Расчет страховых взносов по обязательному социальному страхованию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b/>
        <sz val="10"/>
        <rFont val="Times New Roman"/>
        <family val="1"/>
        <charset val="204"/>
      </rPr>
      <t>)</t>
    </r>
  </si>
  <si>
    <r>
      <t>3.7.1. Обоснование (расчет) плановых показателей по выплатам на страховые взносы по обязательному социальному страхованию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</si>
  <si>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b/>
        <sz val="10"/>
        <rFont val="Times New Roman"/>
        <family val="1"/>
        <charset val="204"/>
      </rPr>
      <t>)</t>
    </r>
  </si>
  <si>
    <r>
      <t>3.12. Обоснование (расчет) плановых показателей по прочим расходам (кроме расходов на закупку товаров, работ и услуг)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</si>
  <si>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3.11. Обоснование (расчет) плановых показателей по расходам на безвозмездное перечисление организациям и физическим лицам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</t>
    </r>
    <r>
      <rPr>
        <sz val="10"/>
        <rFont val="Times New Roman"/>
        <family val="1"/>
        <charset val="204"/>
      </rPr>
      <t>ь)</t>
    </r>
  </si>
  <si>
    <r>
      <t>3.10. Обоснование (расчет) плановых показателей по расходам на уплату налогов, сборов и иных платежей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</si>
  <si>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3.8.1. Обоснование (расчет) выплат персоналу при направлении в служебные командировки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</si>
  <si>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3.7.2. Расчет страховых взносов по обязательному социальному страхованию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</si>
  <si>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r>
      <t xml:space="preserve">3.7.1. Обоснование (расчет) плановых показателей по выплатам на страховые взносы по обязательному социальному страхованию </t>
    </r>
    <r>
      <rPr>
        <b/>
        <sz val="10"/>
        <rFont val="Times New Roman"/>
        <family val="1"/>
        <charset val="204"/>
      </rPr>
      <t>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</si>
  <si>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r>
      <t>3.6.1. Обоснование (расчет) плановых показателей по выплатам по элементу вида расходов классификации расходов бюджетов 111 "Фонд оплаты труда учреждений"</t>
    </r>
    <r>
      <rPr>
        <b/>
        <sz val="10"/>
        <rFont val="Times New Roman"/>
        <family val="1"/>
        <charset val="204"/>
      </rPr>
      <t xml:space="preserve">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b/>
        <sz val="10"/>
        <rFont val="Times New Roman"/>
        <family val="1"/>
        <charset val="204"/>
      </rPr>
      <t>)</t>
    </r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</si>
  <si>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</si>
  <si>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t>3.13.1. Обоснование (расчет) плановых показателей по расходам на закупки товаров, работ и услуг</t>
  </si>
  <si>
    <t>услуги связи (ст.221)</t>
  </si>
  <si>
    <t>транспортные услуги (ст.222)</t>
  </si>
  <si>
    <t>коммунальные услуги (ст.223)</t>
  </si>
  <si>
    <t>аренда имущества (ст.224)</t>
  </si>
  <si>
    <t>содержание имущества (ст.225)</t>
  </si>
  <si>
    <t>обязательное страхование (ст.227)</t>
  </si>
  <si>
    <t>повышение квалификации (профессиональная переподготовка) (ст.226)</t>
  </si>
  <si>
    <t>оплата услуг и работ (медицинских осмотров, информационных услуг, консультационных услуг, экспертных услуг, научно- исследовательских работ, типографских работ), не указанных выше (ст.226)</t>
  </si>
  <si>
    <t>приобретение объектов движимого имущества (ст.310)</t>
  </si>
  <si>
    <t>приобретение материальных запасов (ст.340)</t>
  </si>
  <si>
    <t>Услуги внутризоновой связи</t>
  </si>
  <si>
    <t>Услуги связи</t>
  </si>
  <si>
    <t>Абонентская плата за услуги телефонной связи</t>
  </si>
  <si>
    <t>Услуги международной и междугородней связи</t>
  </si>
  <si>
    <t>Телематеческие услуги связи (доступ к интернету)</t>
  </si>
  <si>
    <t>Приобретение проездных билетов</t>
  </si>
  <si>
    <t>Наем транспорта</t>
  </si>
  <si>
    <t>Тепловая энергия на отопление</t>
  </si>
  <si>
    <t>Холодная вода</t>
  </si>
  <si>
    <t>Водоотведение (стоки холодной и горячей воды)</t>
  </si>
  <si>
    <t>Горячая вода на тепловую энергию</t>
  </si>
  <si>
    <t>Горячая вода на теплоноситель</t>
  </si>
  <si>
    <t>Электроэнергия</t>
  </si>
  <si>
    <t>Септики</t>
  </si>
  <si>
    <t>ТО и ремонт электрооборудования</t>
  </si>
  <si>
    <t>Ремонт и обслуживание оргтехники</t>
  </si>
  <si>
    <t>ТО приборов учета</t>
  </si>
  <si>
    <t>Ветеринарные услуги</t>
  </si>
  <si>
    <t>ТО системы охранной и тревожной сигнализации</t>
  </si>
  <si>
    <t>ТО сантехнического оборудования</t>
  </si>
  <si>
    <t>Услуги дератизации и дезинсекции</t>
  </si>
  <si>
    <t>Обработка лесного массива от клещей</t>
  </si>
  <si>
    <t>ТО и перезарядка огнетушителей</t>
  </si>
  <si>
    <t>Поверка манометров</t>
  </si>
  <si>
    <t>ТО и ремонт видеонаблюдения</t>
  </si>
  <si>
    <t>Обучение сотрудников</t>
  </si>
  <si>
    <t>Медосмотры работников, предрейсовый и послерейсовый медосмотр водителя</t>
  </si>
  <si>
    <t>Утилизация ламп дневного освещения</t>
  </si>
  <si>
    <t>Охрана территории МАУК "ПКиО"</t>
  </si>
  <si>
    <t>Приобретение антивирусной программы</t>
  </si>
  <si>
    <t>Средняя стоимость, руб.</t>
  </si>
  <si>
    <t xml:space="preserve">Количество </t>
  </si>
  <si>
    <t>Приобретение медикаментов</t>
  </si>
  <si>
    <t>3.13.13. Обоснование (расчет) плановых показателей по расходам на приобретение горюче-смазочных материалов (ст.343)</t>
  </si>
  <si>
    <t>3.13.11. Обоснование (расчет) плановых показателей по расходам на приобретение  лекарственных препаратов и материалов, применяемых в медицинских целях (ст.341)</t>
  </si>
  <si>
    <t>Приобретение ГСМ</t>
  </si>
  <si>
    <t>3.13.14. Обоснование (расчет) плановых показателей по расходам на приобретение строительных материалов (ст.344)</t>
  </si>
  <si>
    <t>3.13.15. Обоснование (расчет) плановых показателей по расходам на приобретение мягкого инвентаря (ст.345)</t>
  </si>
  <si>
    <t>Приобретение комбинезонов, костюмов, курток, брюк, халатов, полушубков, тулупов, различной обуви, рукавиц, очков, шлемов, противогазов, респираторов, других видов специальной одежды</t>
  </si>
  <si>
    <t>3.13.16. Обоснование (расчет) плановых показателей по расходам на приобретение опрочих оборотных запасов (материалов) (ст.346)</t>
  </si>
  <si>
    <t>Приобретение кормов для животных</t>
  </si>
  <si>
    <t>Приобретение запасных частей</t>
  </si>
  <si>
    <t>Приобретение баннеров</t>
  </si>
  <si>
    <t>3.13.17. Обоснование (расчет) плановых показателей по расходам на приобретение материальные запасы однократного применения (ст.349)</t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</si>
  <si>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</si>
  <si>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t>Услуги абонентного ящика</t>
  </si>
  <si>
    <t>Техническое обслуживание ККТ</t>
  </si>
  <si>
    <t>Оплата за проф.переподготовку сотрудников, обучение, участие в семинарах-совещаниях</t>
  </si>
  <si>
    <t>Техническое поддержка интернет-сайта</t>
  </si>
  <si>
    <t>Информационное обслуживание</t>
  </si>
  <si>
    <t>Услуги автовышки</t>
  </si>
  <si>
    <t>Замена фискального накопителя</t>
  </si>
  <si>
    <t>Услуги банка</t>
  </si>
  <si>
    <t>Эквайринговые операции</t>
  </si>
  <si>
    <t>3.13.12. Обоснование (расчет) плановых показателей по расходам на приобретение продуктов питания (ст.342)</t>
  </si>
  <si>
    <t>Приобретение хозтоваров для нужд учреждений</t>
  </si>
  <si>
    <t xml:space="preserve">Приобретение сувенирной продукции </t>
  </si>
  <si>
    <t>Возмещение суточных расходов в командировки</t>
  </si>
  <si>
    <t>Возмещение расходов на проезд и проживания в командировки</t>
  </si>
  <si>
    <t>03101</t>
  </si>
  <si>
    <t>03102</t>
  </si>
  <si>
    <t>03103</t>
  </si>
  <si>
    <t>03104</t>
  </si>
  <si>
    <t>03105</t>
  </si>
  <si>
    <t>03106</t>
  </si>
  <si>
    <t>03107</t>
  </si>
  <si>
    <t>приобретение лекарственных препаратов и материалов, применяемых в медицинских целях (ст.341)</t>
  </si>
  <si>
    <t>приобретение продуктов питания (ст.342)</t>
  </si>
  <si>
    <t>приобретение горюче-смазочных материалов (ст.343)</t>
  </si>
  <si>
    <t>приобретение строительных материалов (ст.344)</t>
  </si>
  <si>
    <t>приобретение мягкого инвентаря (ст.345)</t>
  </si>
  <si>
    <t>приобретение прочих оборотных запасов (материалов) (ст.346)</t>
  </si>
  <si>
    <t>приобретение материальных запасов однократного применения (ст.349)</t>
  </si>
  <si>
    <t>3.13.2. Обоснование (расчет) плановых показателей по расходам на услуги связи (ст.221)</t>
  </si>
  <si>
    <t>3.13.3. Обоснование (расчет) плановых показателей по расходам на транспортные услуги (ст.222)</t>
  </si>
  <si>
    <t>3.13.5. Обоснование (расчет) плановых показателей по расходам на аренду имущества (ст.224)</t>
  </si>
  <si>
    <t>3.13.6. Обоснование (расчет) плановых показателей по расходам на содержание имущества(ст.225)</t>
  </si>
  <si>
    <t>3.13.7. Обоснование (расчет) плановых показателей по расходам на обязательное страхование (ст.227)</t>
  </si>
  <si>
    <t>3.13.8. Обоснование (расчет) плановых показателей по расходам на повышение квалификации (профессиональную переподготовку)(ст.226)</t>
  </si>
  <si>
    <t>3.13.9. Обоснование (расчет) плановых показателей по расходам на оплату услуг и работ (ст.226)</t>
  </si>
  <si>
    <t>3.13.10. Обоснование (расчет) плановых показателей по расходам на приобретение объектов движимого имуществ (ст.310)</t>
  </si>
  <si>
    <t>3.13.6. Обоснование (расчет) плановых показателей по расходам на содержание имущества (ст.225)</t>
  </si>
  <si>
    <t>3.13.8. Обоснование (расчет) плановых показателей по расходам на повышение квалификации (профессиональную переподготовку) (ст.226)</t>
  </si>
  <si>
    <t>оплата работ, услуг (ст.226)</t>
  </si>
  <si>
    <r>
      <t xml:space="preserve">(уполномоченное лицо                    </t>
    </r>
    <r>
      <rPr>
        <sz val="8"/>
        <rFont val="Times New Roman"/>
        <family val="1"/>
        <charset val="204"/>
      </rPr>
      <t>(должность)            (подпись)         (расшифровка подписи)</t>
    </r>
  </si>
  <si>
    <r>
      <t xml:space="preserve">                            </t>
    </r>
    <r>
      <rPr>
        <sz val="8"/>
        <rFont val="Times New Roman"/>
        <family val="1"/>
        <charset val="204"/>
      </rPr>
      <t xml:space="preserve">    (должность)           (фамилия, инициалы)                 (телефон)</t>
    </r>
  </si>
  <si>
    <t>(подпись)                               (расшифровка подписи)</t>
  </si>
  <si>
    <r>
      <t xml:space="preserve">Исполнитель        </t>
    </r>
    <r>
      <rPr>
        <u/>
        <sz val="10"/>
        <rFont val="Times New Roman"/>
        <family val="1"/>
        <charset val="204"/>
      </rPr>
      <t xml:space="preserve">Зав.отделом </t>
    </r>
    <r>
      <rPr>
        <sz val="10"/>
        <rFont val="Times New Roman"/>
        <family val="1"/>
        <charset val="204"/>
      </rPr>
      <t xml:space="preserve">            </t>
    </r>
    <r>
      <rPr>
        <u/>
        <sz val="10"/>
        <rFont val="Times New Roman"/>
        <family val="1"/>
        <charset val="204"/>
      </rPr>
      <t xml:space="preserve">Т.В. Русинова   </t>
    </r>
    <r>
      <rPr>
        <sz val="10"/>
        <rFont val="Times New Roman"/>
        <family val="1"/>
        <charset val="204"/>
      </rPr>
      <t xml:space="preserve">                 </t>
    </r>
    <r>
      <rPr>
        <u/>
        <sz val="10"/>
        <rFont val="Times New Roman"/>
        <family val="1"/>
        <charset val="204"/>
      </rPr>
      <t xml:space="preserve">  75-26-89</t>
    </r>
  </si>
  <si>
    <t xml:space="preserve">Вывоз ТКО </t>
  </si>
  <si>
    <t>на 2023 г.</t>
  </si>
  <si>
    <t>Обработка фискальных данных ККТ</t>
  </si>
  <si>
    <t>3.13.4. Обоснование (расчет) плановых показателей по расходам на коммунальные услуги (КВР 247, ст.223)</t>
  </si>
  <si>
    <t>коммунальные услуги (КВР 247, ст.223)</t>
  </si>
  <si>
    <t>3.13.4. Обоснование (расчет) плановых показателей по расходам на коммунальные услуги (КВР 244, ст.223)</t>
  </si>
  <si>
    <t>3.13.4.1. Обоснование (расчет) плановых показателей по расходам на коммунальные услуги (КВР 247, ст.223)</t>
  </si>
  <si>
    <t>коммунальные услуги (КВР 244, ст.223)</t>
  </si>
  <si>
    <t>ТО системы пожарной сигнализации, системы оповещения эвакуацией людей при пожаре</t>
  </si>
  <si>
    <t>Проведение испытаний пожарных гидрантов на работоспособность</t>
  </si>
  <si>
    <t>Приобретение неисключительных лицензионных прав на Электронную систему "Культура"</t>
  </si>
  <si>
    <t>0311</t>
  </si>
  <si>
    <t>03121</t>
  </si>
  <si>
    <t>03122</t>
  </si>
  <si>
    <t>03123</t>
  </si>
  <si>
    <t>03124</t>
  </si>
  <si>
    <t>03125</t>
  </si>
  <si>
    <t>03126</t>
  </si>
  <si>
    <t>03127</t>
  </si>
  <si>
    <t>3.13.10. Обоснование (расчет) плановых показателей по расходам на увеличение стоимости неисключительных прав на результаты интеллектуальной деятельности с определенным сроком полезного испльзования (ст.353)</t>
  </si>
  <si>
    <r>
      <t xml:space="preserve">3.7.3.1 Пособия, компенсации и иные социальные выплаты гражданам, кроме публичных нормативных обязательств (КВР 321, ст.264) </t>
    </r>
    <r>
      <rPr>
        <b/>
        <u/>
        <sz val="10"/>
        <rFont val="Times New Roman"/>
        <family val="1"/>
        <charset val="204"/>
      </rPr>
      <t>(Субсидия на финансовое обеспечение выполнения муниципального задания)</t>
    </r>
  </si>
  <si>
    <t>Средний размер выплаты на одного работника , руб.</t>
  </si>
  <si>
    <t>Администратор</t>
  </si>
  <si>
    <t>из них: гранты, предоставляемые бюджетным учреждениям</t>
  </si>
  <si>
    <t>гранты, предоставляемые автономным учреждениям</t>
  </si>
  <si>
    <t>гранты, предоставляемые иным некоммкрческим организациям (за исключением бюджетных и автономных учреждений)</t>
  </si>
  <si>
    <t>гранты, предоставляемые другим организациям и физическим лицам</t>
  </si>
  <si>
    <t>закупку энергенических ресурсов (ст.223)</t>
  </si>
  <si>
    <t>1.3.1</t>
  </si>
  <si>
    <t>в том числе:                                                                                   в соответствии с Федеральным законом № 44-ФЗ</t>
  </si>
  <si>
    <t>26310.1</t>
  </si>
  <si>
    <t>1.3.2</t>
  </si>
  <si>
    <t>26421.1</t>
  </si>
  <si>
    <t>26430.1</t>
  </si>
  <si>
    <t>26451.1</t>
  </si>
  <si>
    <t>*(Р2)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7 мая 2018 г. № 204 «О национальных целях и стратегических задачах развития Российской Федерации на период до 2024 года» (Собрание законодательства Российской Федерации, 2018, № 20, ст. 2817; № 30, ст. 4717), или регионального проекта, обеспечивающего достижение целей, показателей и результатов федерального проекта (далее – региональный проект), показатели строк 26310, 26421, 26430 и  26451 Раздела 2 «Сведения по выплатам на закупку товаров, работ, услуг» детализируются по коду целевой статьи ( 8-17 разряды кода классификации расходов бюджетов, при этом в рамках реализации регионального проекта в 8-10 разрядах могут указываться нули)</t>
  </si>
  <si>
    <t>(Курирующее подразделение)</t>
  </si>
  <si>
    <t>Заместитель директора по основной деятельности</t>
  </si>
  <si>
    <t>Главный художник</t>
  </si>
  <si>
    <t>Техник по наладке и испытаниям</t>
  </si>
  <si>
    <t>Зоолог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</si>
  <si>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</si>
  <si>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</si>
  <si>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</si>
  <si>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</si>
  <si>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</si>
  <si>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</si>
  <si>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</si>
  <si>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</si>
  <si>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</si>
  <si>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Приобретение аттракциона</t>
  </si>
  <si>
    <t>Наем транспорта (услуги автовышки (монтаж, демонтаж елки))</t>
  </si>
  <si>
    <t>Социальный отдел Администрации ЗАТО г. Железногорск</t>
  </si>
  <si>
    <t>03111</t>
  </si>
  <si>
    <t>03112</t>
  </si>
  <si>
    <t>03113</t>
  </si>
  <si>
    <t>03114</t>
  </si>
  <si>
    <t>03115</t>
  </si>
  <si>
    <t>03116</t>
  </si>
  <si>
    <t>03117</t>
  </si>
  <si>
    <t>на 2024 г.</t>
  </si>
  <si>
    <r>
      <t>3.6.3. Расчет фонда оплаты труда на 2022 г. (текущий финансовый год)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</si>
  <si>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3.6.4. Расчет фонда оплаты труда на 2023 г. (первый год финансового плана)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</si>
  <si>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r>
      <t>3.6.5. Расчет фонда оплаты труда на 2024 г. (второй год планового периода) (</t>
    </r>
    <r>
      <rPr>
        <b/>
        <u/>
        <sz val="10"/>
        <rFont val="Times New Roman"/>
        <family val="1"/>
        <charset val="204"/>
      </rPr>
      <t>Субсидия на финансовое обеспечение выполнения муниципального задания</t>
    </r>
    <r>
      <rPr>
        <sz val="10"/>
        <rFont val="Times New Roman"/>
        <family val="1"/>
        <charset val="204"/>
      </rPr>
      <t>)</t>
    </r>
  </si>
  <si>
    <t>Перевозка оборудования, декораций</t>
  </si>
  <si>
    <t>Охрана объекта (здания ТКЗ и клуб "Спутник")</t>
  </si>
  <si>
    <t>Заведующий зоосадом</t>
  </si>
  <si>
    <t>Заведующий аттракционом (сезон 01.05-30.09: 2,0 шт.ед.)</t>
  </si>
  <si>
    <t>Специалист по маркетингу</t>
  </si>
  <si>
    <t>Рабочий по комплексному обслуживанию и ремонту зданий</t>
  </si>
  <si>
    <t>Рабочий по комплексному обслуживанию и ремонту зданий (сезон 01.04-30.09: 1,0 шт.ед.)</t>
  </si>
  <si>
    <t>Контролер-посадчик аттракционов (сезон 01.05-30.09: 18,0 шт.ед.)</t>
  </si>
  <si>
    <t>Кассир билетный (сезон 01.01-31.03; 01.11.-31.12: 1,0 шт.ед.)</t>
  </si>
  <si>
    <t>Кассир билетный (сезон 01.05-30.09: 5,0 шт.ед.)</t>
  </si>
  <si>
    <t>Контролер-посадчик аттракционов (сезон 01.01-31.03; 01.11-31.12: 2,0 шт.ед.)</t>
  </si>
  <si>
    <r>
      <t>3.6.3. Расчет фонда оплаты труда на 2022 г. (текущий финансовый год)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</si>
  <si>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3.6.4. Расчет фонда оплаты труда на 2023 г. (первый год финансового плана)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</si>
  <si>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r>
      <t>3.6.5. Расчет фонда оплаты труда на 2024 г. (второй год планового периода) (</t>
    </r>
    <r>
      <rPr>
        <b/>
        <u/>
        <sz val="10"/>
        <rFont val="Times New Roman"/>
        <family val="1"/>
        <charset val="204"/>
      </rPr>
      <t>Предпринимательская деятельность и иная приносящая доход деятельность</t>
    </r>
    <r>
      <rPr>
        <sz val="10"/>
        <rFont val="Times New Roman"/>
        <family val="1"/>
        <charset val="204"/>
      </rPr>
      <t>)</t>
    </r>
  </si>
  <si>
    <t>Услуги физической охраны (ООО "Система безопасности")</t>
  </si>
  <si>
    <t>Уборка помещений и территории парка</t>
  </si>
  <si>
    <t>в том числе: оплата труда</t>
  </si>
  <si>
    <t>Код по бюджетной классификации Российской Федерации (Р2.1)*</t>
  </si>
  <si>
    <t>Уникальный код (Р2.2)*</t>
  </si>
  <si>
    <t>4.1.</t>
  </si>
  <si>
    <t>4.2.</t>
  </si>
  <si>
    <t xml:space="preserve">    из них (Р2.1)*:</t>
  </si>
  <si>
    <t>26310.2</t>
  </si>
  <si>
    <t xml:space="preserve">    из них (Р2.2)*:</t>
  </si>
  <si>
    <t>из них (Р2.1)*:</t>
  </si>
  <si>
    <t>26430.2</t>
  </si>
  <si>
    <t>из них (Р2.2)*:</t>
  </si>
  <si>
    <t>26451.2</t>
  </si>
  <si>
    <t>иные выплаты населению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</si>
  <si>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</si>
  <si>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"____" ____________ 202  г.</t>
  </si>
  <si>
    <t xml:space="preserve">"____" ______________202  г.                                     </t>
  </si>
  <si>
    <t>Организация и проведение культурно-массовых мероприятий (иные зрелищные мероприятия), платная</t>
  </si>
  <si>
    <t>Организация и проведение культурно-массовых мероприятий (иные зрелищные мероприятия), бесплатная</t>
  </si>
  <si>
    <t>Услуги по содержанию имущества</t>
  </si>
  <si>
    <t>Участие в конкурсах НП САПИР</t>
  </si>
  <si>
    <t>Приобретение канцтоваров для нужд учреждения</t>
  </si>
  <si>
    <t>Приобретение электротоваров для нужд учреждения</t>
  </si>
  <si>
    <t>Остатки денежных средств, руб.</t>
  </si>
  <si>
    <t>Оплата по договорам гражданско-правового характера (организация праздничных мероприятий -дискотеки)</t>
  </si>
  <si>
    <r>
      <t>3.13. Обоснование (расчет) плановых показателей по расходам на закупки товаров, работ и услуг (</t>
    </r>
    <r>
      <rPr>
        <b/>
        <u/>
        <sz val="10"/>
        <rFont val="Times New Roman"/>
        <family val="1"/>
        <charset val="204"/>
      </rPr>
      <t>Субсидии на иные цели)</t>
    </r>
  </si>
  <si>
    <t>увеличение стоимости неисключительных прав на результаты интеллектуальной деятельности с определенным сроком полезного испльзования (ст.353)</t>
  </si>
  <si>
    <t>0312</t>
  </si>
  <si>
    <t>Транспортные услуги (автовышка)</t>
  </si>
  <si>
    <t>Содержание и ремонт, заливка, подливка, ремонт объектов и световой иллюминации в течение периода эксплуатации</t>
  </si>
  <si>
    <t xml:space="preserve">Монтаж/демонтаж горок
</t>
  </si>
  <si>
    <t>Охрана, с11.12.21г. по 30.01.22г.</t>
  </si>
  <si>
    <t xml:space="preserve">Монтаж/демонтаж иллюминации
</t>
  </si>
  <si>
    <t>3.13.11. Обоснование (расчет) плановых показателей по расходам на приобретение объектов движимого имуществ (ст.310)</t>
  </si>
  <si>
    <t>3.13.12. Обоснование (расчет) плановых показателей по расходам на приобретение  лекарственных препаратов и материалов, применяемых в медицинских целях (ст.341)</t>
  </si>
  <si>
    <t>3.13.13. Обоснование (расчет) плановых показателей по расходам на приобретение продуктов питания (ст.342)</t>
  </si>
  <si>
    <t>3.13.14. Обоснование (расчет) плановых показателей по расходам на приобретение горюче-смазочных материалов (ст.343)</t>
  </si>
  <si>
    <t>3.13.15. Обоснование (расчет) плановых показателей по расходам на приобретение строительных материалов (ст.344)</t>
  </si>
  <si>
    <t>3.13.16. Обоснование (расчет) плановых показателей по расходам на приобретение мягкого инвентаря (ст.345)</t>
  </si>
  <si>
    <t>3.13.17. Обоснование (расчет) плановых показателей по расходам на приобретение опрочих оборотных запасов (материалов) (ст.346)</t>
  </si>
  <si>
    <t>3.13.18. Обоснование (расчет) плановых показателей по расходам на приобретение материальные запасы однократного применения (ст.349)</t>
  </si>
  <si>
    <t>Пенсии, пособия, выплачиваемые работодателями, нанимателями бывшим работникам пособия (по сокращению)</t>
  </si>
  <si>
    <t>Установка двери металлической</t>
  </si>
  <si>
    <t>Монтаж,демонтаж двери металлической</t>
  </si>
  <si>
    <t>Приобретение видеопроектора</t>
  </si>
  <si>
    <t>Приобретение проектора (2шт.) и коммутации</t>
  </si>
  <si>
    <t>Приобретение двери металлической</t>
  </si>
  <si>
    <t>Пени, штрафы</t>
  </si>
  <si>
    <t xml:space="preserve">Увеличение выплаты стимулирующего характера </t>
  </si>
  <si>
    <t xml:space="preserve">Уменьшение на выплаты пособия по сокращению </t>
  </si>
  <si>
    <t>0042</t>
  </si>
  <si>
    <t>0043</t>
  </si>
  <si>
    <t>прочие выплаты персоналу, в том числе компенсационного характера (321/264)</t>
  </si>
  <si>
    <t xml:space="preserve">Приобретение основных средств (праздничные мероприятия) </t>
  </si>
  <si>
    <t>Приобретение сувенирной продукции (праздничные мероприятия) призы, конфеты для победителей и участников мероприятий</t>
  </si>
  <si>
    <t>праздничные мероприятия 340</t>
  </si>
  <si>
    <t>Приобретение ГСМ ( праздничные мероприятия) маршрут по городу (доставка костюмов, декораций)</t>
  </si>
  <si>
    <t>Услуги по проведению и организации праздничных мероприятий (оплата гонорара артистам, фотографам, ведущим, коллективам, оплата услуг по монтажу-демонтажу обоудования, оформлению праздничных площадок и фотозон)</t>
  </si>
  <si>
    <t>Услуги по содержанию имущества (праздничные мероприятия)</t>
  </si>
  <si>
    <t>Услуги по обслуживанию ледяных горок</t>
  </si>
  <si>
    <t>Приобретение прочих оборотных запасов (материалов) (праздничные мероприятия) (изготовление фотозон, для проведения квестов, для создания декораций)</t>
  </si>
  <si>
    <t>Оплата ежегодного членского взноса САПИР, ЕРАЗА 853/297</t>
  </si>
  <si>
    <r>
      <t xml:space="preserve">Руководитель учреждения             </t>
    </r>
    <r>
      <rPr>
        <u/>
        <sz val="10"/>
        <rFont val="Times New Roman"/>
        <family val="1"/>
        <charset val="204"/>
      </rPr>
      <t xml:space="preserve">  Директор</t>
    </r>
    <r>
      <rPr>
        <sz val="10"/>
        <rFont val="Times New Roman"/>
        <family val="1"/>
        <charset val="204"/>
      </rPr>
      <t xml:space="preserve">      ____________      </t>
    </r>
    <r>
      <rPr>
        <u/>
        <sz val="10"/>
        <rFont val="Times New Roman"/>
        <family val="1"/>
        <charset val="204"/>
      </rPr>
      <t xml:space="preserve">  С.В. Волкова </t>
    </r>
  </si>
  <si>
    <r>
      <t xml:space="preserve">_______________              </t>
    </r>
    <r>
      <rPr>
        <u/>
        <sz val="1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</si>
</sst>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#,##0.00000"/>
    <numFmt numFmtId="165" formatCode="#,##0.000"/>
    <numFmt numFmtId="166" formatCode="#,##0.0"/>
    <numFmt numFmtId="167" formatCode="0.000"/>
  </numFmts>
  <fonts count="17" x14ac:knownFonts="1">
    <font>
      <sz val="10"/>
      <name val="Arial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u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u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 style="thin">
        <color auto="1"/>
      </bottom>
      <diagonal/>
    </border>
    <border>
      <left/>
      <right style="mediumDashed">
        <color auto="1"/>
      </right>
      <top/>
      <bottom style="thin">
        <color auto="1"/>
      </bottom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3"/>
    <xf numFmtId="44" fontId="7" fillId="0" borderId="0" applyFont="0" applyFill="0" applyBorder="0" applyAlignment="0" applyProtection="0"/>
    <xf numFmtId="0" fontId="7" fillId="0" borderId="3"/>
    <xf numFmtId="44" fontId="7" fillId="0" borderId="3" applyFont="0" applyFill="0" applyBorder="0" applyAlignment="0" applyProtection="0"/>
  </cellStyleXfs>
  <cellXfs count="31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 indent="3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15" xfId="0" applyFont="1" applyBorder="1"/>
    <xf numFmtId="0" fontId="3" fillId="0" borderId="16" xfId="0" applyFont="1" applyBorder="1" applyAlignment="1">
      <alignment vertical="top"/>
    </xf>
    <xf numFmtId="0" fontId="3" fillId="0" borderId="17" xfId="0" applyFont="1" applyBorder="1"/>
    <xf numFmtId="0" fontId="3" fillId="0" borderId="18" xfId="0" applyFont="1" applyBorder="1"/>
    <xf numFmtId="0" fontId="3" fillId="0" borderId="4" xfId="0" applyFont="1" applyBorder="1" applyAlignment="1">
      <alignment horizontal="left" vertical="top" indent="1"/>
    </xf>
    <xf numFmtId="0" fontId="3" fillId="0" borderId="4" xfId="0" applyFont="1" applyBorder="1" applyAlignment="1">
      <alignment horizontal="left" vertical="top" indent="2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 indent="4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4" fontId="3" fillId="0" borderId="5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top" inden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 vertical="top"/>
    </xf>
    <xf numFmtId="16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" fontId="3" fillId="0" borderId="4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2" borderId="4" xfId="1" applyFont="1" applyFill="1" applyBorder="1" applyAlignment="1" applyProtection="1">
      <alignment vertical="top" wrapText="1"/>
      <protection locked="0"/>
    </xf>
    <xf numFmtId="0" fontId="3" fillId="2" borderId="5" xfId="1" applyFont="1" applyFill="1" applyBorder="1" applyAlignment="1" applyProtection="1">
      <alignment vertical="top" wrapText="1"/>
      <protection locked="0"/>
    </xf>
    <xf numFmtId="4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9" fillId="0" borderId="4" xfId="2" applyFont="1" applyBorder="1" applyAlignment="1">
      <alignment horizontal="center" vertical="center"/>
    </xf>
    <xf numFmtId="44" fontId="10" fillId="0" borderId="0" xfId="2" applyFont="1"/>
    <xf numFmtId="44" fontId="9" fillId="0" borderId="4" xfId="2" applyFont="1" applyBorder="1" applyAlignment="1">
      <alignment horizontal="left" vertical="top" wrapText="1"/>
    </xf>
    <xf numFmtId="1" fontId="9" fillId="0" borderId="4" xfId="2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19" xfId="0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left" vertical="center"/>
    </xf>
    <xf numFmtId="2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vertical="top"/>
    </xf>
    <xf numFmtId="0" fontId="12" fillId="0" borderId="3" xfId="0" applyFont="1" applyBorder="1"/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165" fontId="3" fillId="0" borderId="4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4" fontId="3" fillId="0" borderId="0" xfId="0" applyNumberFormat="1" applyFont="1"/>
    <xf numFmtId="4" fontId="0" fillId="0" borderId="0" xfId="0" applyNumberFormat="1"/>
    <xf numFmtId="4" fontId="3" fillId="2" borderId="19" xfId="0" applyNumberFormat="1" applyFont="1" applyFill="1" applyBorder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4" fontId="3" fillId="0" borderId="0" xfId="0" applyNumberFormat="1" applyFont="1" applyAlignment="1"/>
    <xf numFmtId="0" fontId="3" fillId="0" borderId="0" xfId="0" applyFont="1" applyAlignment="1"/>
    <xf numFmtId="0" fontId="12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/>
    <xf numFmtId="4" fontId="3" fillId="0" borderId="19" xfId="0" applyNumberFormat="1" applyFont="1" applyBorder="1" applyAlignment="1"/>
    <xf numFmtId="4" fontId="3" fillId="0" borderId="3" xfId="0" applyNumberFormat="1" applyFont="1" applyBorder="1" applyAlignment="1"/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center" vertical="top"/>
    </xf>
    <xf numFmtId="0" fontId="3" fillId="2" borderId="4" xfId="0" applyFont="1" applyFill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right" vertical="center"/>
    </xf>
    <xf numFmtId="0" fontId="0" fillId="0" borderId="3" xfId="0" applyBorder="1"/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top"/>
    </xf>
    <xf numFmtId="165" fontId="3" fillId="2" borderId="4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0" fontId="1" fillId="2" borderId="0" xfId="0" applyFont="1" applyFill="1"/>
    <xf numFmtId="0" fontId="4" fillId="2" borderId="4" xfId="0" applyFont="1" applyFill="1" applyBorder="1" applyAlignment="1">
      <alignment horizontal="left" vertical="top" indent="3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0" xfId="0" applyFill="1"/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3"/>
    <xf numFmtId="0" fontId="3" fillId="0" borderId="3" xfId="3" applyFont="1"/>
    <xf numFmtId="0" fontId="3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left" vertical="top" wrapText="1"/>
    </xf>
    <xf numFmtId="4" fontId="3" fillId="0" borderId="4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left" vertical="top"/>
    </xf>
    <xf numFmtId="4" fontId="3" fillId="0" borderId="3" xfId="3" applyNumberFormat="1" applyFont="1"/>
    <xf numFmtId="49" fontId="3" fillId="0" borderId="4" xfId="3" applyNumberFormat="1" applyFont="1" applyBorder="1" applyAlignment="1">
      <alignment horizontal="center" vertical="center"/>
    </xf>
    <xf numFmtId="4" fontId="4" fillId="0" borderId="4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vertical="top"/>
    </xf>
    <xf numFmtId="44" fontId="9" fillId="0" borderId="4" xfId="4" applyFont="1" applyBorder="1" applyAlignment="1">
      <alignment horizontal="left" vertical="top" wrapText="1"/>
    </xf>
    <xf numFmtId="44" fontId="9" fillId="0" borderId="4" xfId="4" applyFont="1" applyBorder="1" applyAlignment="1">
      <alignment horizontal="center" vertical="center"/>
    </xf>
    <xf numFmtId="1" fontId="9" fillId="0" borderId="4" xfId="4" applyNumberFormat="1" applyFont="1" applyBorder="1" applyAlignment="1">
      <alignment horizontal="center" vertical="center"/>
    </xf>
    <xf numFmtId="4" fontId="9" fillId="0" borderId="4" xfId="4" applyNumberFormat="1" applyFont="1" applyBorder="1" applyAlignment="1">
      <alignment horizontal="center" vertical="center"/>
    </xf>
    <xf numFmtId="44" fontId="10" fillId="0" borderId="3" xfId="4" applyFont="1"/>
    <xf numFmtId="1" fontId="3" fillId="0" borderId="4" xfId="3" applyNumberFormat="1" applyFont="1" applyBorder="1" applyAlignment="1">
      <alignment horizontal="center" vertical="center"/>
    </xf>
    <xf numFmtId="0" fontId="3" fillId="0" borderId="19" xfId="3" applyFont="1" applyBorder="1" applyAlignment="1">
      <alignment horizontal="center" vertical="center"/>
    </xf>
    <xf numFmtId="165" fontId="3" fillId="0" borderId="4" xfId="3" applyNumberFormat="1" applyFont="1" applyBorder="1" applyAlignment="1">
      <alignment horizontal="center" vertical="center"/>
    </xf>
    <xf numFmtId="166" fontId="3" fillId="0" borderId="4" xfId="3" applyNumberFormat="1" applyFont="1" applyBorder="1" applyAlignment="1">
      <alignment horizontal="center" vertical="center"/>
    </xf>
    <xf numFmtId="4" fontId="3" fillId="0" borderId="19" xfId="3" applyNumberFormat="1" applyFont="1" applyBorder="1" applyAlignment="1">
      <alignment horizontal="center" vertical="center"/>
    </xf>
    <xf numFmtId="3" fontId="3" fillId="0" borderId="4" xfId="3" applyNumberFormat="1" applyFont="1" applyBorder="1" applyAlignment="1">
      <alignment horizontal="center" vertical="center"/>
    </xf>
    <xf numFmtId="4" fontId="4" fillId="0" borderId="19" xfId="3" applyNumberFormat="1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top"/>
    </xf>
    <xf numFmtId="4" fontId="3" fillId="2" borderId="4" xfId="3" applyNumberFormat="1" applyFont="1" applyFill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4" fontId="3" fillId="0" borderId="3" xfId="3" applyNumberFormat="1" applyFont="1" applyBorder="1" applyAlignment="1">
      <alignment horizontal="center" vertical="center"/>
    </xf>
    <xf numFmtId="4" fontId="4" fillId="0" borderId="3" xfId="3" applyNumberFormat="1" applyFont="1" applyBorder="1" applyAlignment="1">
      <alignment horizontal="center" vertical="center"/>
    </xf>
    <xf numFmtId="4" fontId="7" fillId="0" borderId="3" xfId="3" applyNumberFormat="1"/>
    <xf numFmtId="4" fontId="4" fillId="2" borderId="4" xfId="3" applyNumberFormat="1" applyFont="1" applyFill="1" applyBorder="1" applyAlignment="1">
      <alignment horizontal="center" vertical="center"/>
    </xf>
    <xf numFmtId="4" fontId="4" fillId="2" borderId="3" xfId="3" applyNumberFormat="1" applyFont="1" applyFill="1" applyBorder="1" applyAlignment="1">
      <alignment horizontal="center" vertical="center"/>
    </xf>
    <xf numFmtId="167" fontId="3" fillId="0" borderId="4" xfId="3" applyNumberFormat="1" applyFont="1" applyBorder="1" applyAlignment="1">
      <alignment horizontal="center" vertical="center"/>
    </xf>
    <xf numFmtId="2" fontId="3" fillId="0" borderId="4" xfId="3" applyNumberFormat="1" applyFont="1" applyBorder="1" applyAlignment="1">
      <alignment horizontal="center" vertical="center"/>
    </xf>
    <xf numFmtId="0" fontId="7" fillId="0" borderId="3" xfId="3" applyFill="1"/>
    <xf numFmtId="0" fontId="3" fillId="2" borderId="19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4" fontId="3" fillId="2" borderId="19" xfId="3" applyNumberFormat="1" applyFont="1" applyFill="1" applyBorder="1" applyAlignment="1">
      <alignment horizontal="center" vertical="center"/>
    </xf>
    <xf numFmtId="4" fontId="3" fillId="0" borderId="3" xfId="3" applyNumberFormat="1" applyFont="1" applyFill="1" applyBorder="1" applyAlignment="1">
      <alignment horizontal="center" vertical="center"/>
    </xf>
    <xf numFmtId="4" fontId="4" fillId="2" borderId="19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9" fontId="3" fillId="0" borderId="3" xfId="3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9" fillId="2" borderId="4" xfId="2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14" fillId="2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13" fillId="0" borderId="2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top" wrapText="1"/>
    </xf>
    <xf numFmtId="0" fontId="3" fillId="0" borderId="5" xfId="3" applyFont="1" applyBorder="1" applyAlignment="1">
      <alignment horizontal="center" vertical="center" wrapText="1"/>
    </xf>
    <xf numFmtId="0" fontId="3" fillId="0" borderId="22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top" wrapText="1"/>
    </xf>
    <xf numFmtId="0" fontId="3" fillId="0" borderId="4" xfId="3" applyFont="1" applyBorder="1" applyAlignment="1">
      <alignment horizontal="center" vertical="top"/>
    </xf>
    <xf numFmtId="0" fontId="3" fillId="2" borderId="19" xfId="3" applyFont="1" applyFill="1" applyBorder="1" applyAlignment="1">
      <alignment horizontal="center" vertical="top" wrapText="1"/>
    </xf>
    <xf numFmtId="0" fontId="3" fillId="0" borderId="3" xfId="3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0" fontId="3" fillId="0" borderId="6" xfId="3" applyFont="1" applyBorder="1" applyAlignment="1">
      <alignment horizontal="center" vertical="top"/>
    </xf>
    <xf numFmtId="0" fontId="3" fillId="0" borderId="20" xfId="3" applyFont="1" applyBorder="1" applyAlignment="1">
      <alignment horizontal="center" vertical="top"/>
    </xf>
    <xf numFmtId="0" fontId="3" fillId="0" borderId="7" xfId="3" applyFont="1" applyBorder="1" applyAlignment="1">
      <alignment horizontal="center" vertical="top"/>
    </xf>
    <xf numFmtId="0" fontId="3" fillId="0" borderId="5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</cellXfs>
  <cellStyles count="5">
    <cellStyle name="Денежный" xfId="2" builtinId="4"/>
    <cellStyle name="Денежный 2" xfId="4" xr:uid="{00000000-0005-0000-0000-000001000000}"/>
    <cellStyle name="Обычный" xfId="0" builtinId="0"/>
    <cellStyle name="Обычный 2" xfId="3" xr:uid="{00000000-0005-0000-0000-000003000000}"/>
    <cellStyle name="Обычный 2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M97"/>
  <sheetViews>
    <sheetView view="pageBreakPreview" topLeftCell="A73" zoomScaleSheetLayoutView="100" workbookViewId="0">
      <selection activeCell="N36" sqref="N36"/>
    </sheetView>
  </sheetViews>
  <sheetFormatPr defaultRowHeight="12.55" x14ac:dyDescent="0.2"/>
  <cols>
    <col min="1" max="1" width="41" customWidth="1"/>
    <col min="2" max="2" width="8.44140625" style="173" customWidth="1"/>
    <col min="3" max="3" width="8.6640625" style="173" customWidth="1"/>
    <col min="4" max="4" width="12.44140625" customWidth="1"/>
    <col min="5" max="5" width="12.109375" customWidth="1"/>
    <col min="6" max="6" width="12.33203125" customWidth="1"/>
    <col min="7" max="7" width="12.109375" customWidth="1"/>
    <col min="8" max="8" width="12.33203125" customWidth="1"/>
    <col min="9" max="9" width="12.109375" customWidth="1"/>
    <col min="10" max="11" width="9.5546875" customWidth="1"/>
    <col min="12" max="12" width="13.44140625" bestFit="1" customWidth="1"/>
    <col min="13" max="13" width="12.6640625" bestFit="1" customWidth="1"/>
    <col min="14" max="14" width="9.5546875"/>
  </cols>
  <sheetData>
    <row r="2" spans="1:13" ht="14.4" x14ac:dyDescent="0.25">
      <c r="A2" s="239" t="s">
        <v>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3" ht="14.4" x14ac:dyDescent="0.25">
      <c r="A3" s="1"/>
      <c r="B3" s="169"/>
      <c r="C3" s="169"/>
      <c r="D3" s="1"/>
      <c r="E3" s="1"/>
      <c r="F3" s="1"/>
      <c r="G3" s="1"/>
      <c r="H3" s="1"/>
      <c r="I3" s="1"/>
      <c r="J3" s="1"/>
      <c r="K3" s="1"/>
    </row>
    <row r="4" spans="1:13" ht="20.2" customHeight="1" x14ac:dyDescent="0.25">
      <c r="A4" s="241" t="s">
        <v>325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3" ht="20.2" customHeight="1" x14ac:dyDescent="0.25">
      <c r="A5" s="241" t="s">
        <v>326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</row>
    <row r="6" spans="1:13" ht="14.4" x14ac:dyDescent="0.25">
      <c r="A6" s="1"/>
      <c r="B6" s="169"/>
      <c r="C6" s="169"/>
      <c r="D6" s="1"/>
      <c r="E6" s="1"/>
      <c r="F6" s="1"/>
      <c r="G6" s="1"/>
      <c r="H6" s="1"/>
      <c r="I6" s="1"/>
      <c r="J6" s="1"/>
      <c r="K6" s="1"/>
    </row>
    <row r="7" spans="1:13" ht="19.600000000000001" customHeight="1" x14ac:dyDescent="0.25">
      <c r="A7" s="243" t="s">
        <v>4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</row>
    <row r="9" spans="1:13" ht="19.600000000000001" customHeight="1" x14ac:dyDescent="0.2">
      <c r="A9" s="245" t="s">
        <v>10</v>
      </c>
      <c r="B9" s="246" t="s">
        <v>11</v>
      </c>
      <c r="C9" s="246" t="s">
        <v>12</v>
      </c>
      <c r="D9" s="247" t="s">
        <v>13</v>
      </c>
      <c r="E9" s="247"/>
      <c r="F9" s="247"/>
      <c r="G9" s="247"/>
      <c r="H9" s="247"/>
      <c r="I9" s="247"/>
      <c r="J9" s="247"/>
      <c r="K9" s="247"/>
    </row>
    <row r="10" spans="1:13" ht="17.25" customHeight="1" x14ac:dyDescent="0.2">
      <c r="A10" s="245"/>
      <c r="B10" s="246"/>
      <c r="C10" s="246"/>
      <c r="D10" s="247" t="s">
        <v>9</v>
      </c>
      <c r="E10" s="247"/>
      <c r="F10" s="247" t="s">
        <v>571</v>
      </c>
      <c r="G10" s="247"/>
      <c r="H10" s="247" t="s">
        <v>630</v>
      </c>
      <c r="I10" s="247"/>
      <c r="J10" s="248" t="s">
        <v>14</v>
      </c>
      <c r="K10" s="248"/>
    </row>
    <row r="11" spans="1:13" ht="26.3" customHeight="1" x14ac:dyDescent="0.2">
      <c r="A11" s="245"/>
      <c r="B11" s="246"/>
      <c r="C11" s="246"/>
      <c r="D11" s="248" t="s">
        <v>15</v>
      </c>
      <c r="E11" s="248"/>
      <c r="F11" s="248" t="s">
        <v>0</v>
      </c>
      <c r="G11" s="248"/>
      <c r="H11" s="248" t="s">
        <v>16</v>
      </c>
      <c r="I11" s="248"/>
      <c r="J11" s="248"/>
      <c r="K11" s="248"/>
    </row>
    <row r="12" spans="1:13" ht="77.95" customHeight="1" x14ac:dyDescent="0.2">
      <c r="A12" s="245"/>
      <c r="B12" s="246"/>
      <c r="C12" s="246"/>
      <c r="D12" s="11" t="s">
        <v>17</v>
      </c>
      <c r="E12" s="37" t="s">
        <v>18</v>
      </c>
      <c r="F12" s="11" t="s">
        <v>17</v>
      </c>
      <c r="G12" s="37" t="s">
        <v>18</v>
      </c>
      <c r="H12" s="11" t="s">
        <v>17</v>
      </c>
      <c r="I12" s="37" t="s">
        <v>18</v>
      </c>
      <c r="J12" s="11" t="s">
        <v>17</v>
      </c>
      <c r="K12" s="37" t="s">
        <v>18</v>
      </c>
    </row>
    <row r="13" spans="1:13" ht="13.15" x14ac:dyDescent="0.2">
      <c r="A13" s="2" t="s">
        <v>19</v>
      </c>
      <c r="B13" s="111" t="s">
        <v>20</v>
      </c>
      <c r="C13" s="111" t="s">
        <v>21</v>
      </c>
      <c r="D13" s="3" t="s">
        <v>22</v>
      </c>
      <c r="E13" s="3" t="s">
        <v>23</v>
      </c>
      <c r="F13" s="3" t="s">
        <v>24</v>
      </c>
      <c r="G13" s="3" t="s">
        <v>25</v>
      </c>
      <c r="H13" s="3" t="s">
        <v>26</v>
      </c>
      <c r="I13" s="3" t="s">
        <v>27</v>
      </c>
      <c r="J13" s="3" t="s">
        <v>28</v>
      </c>
      <c r="K13" s="3" t="s">
        <v>29</v>
      </c>
    </row>
    <row r="14" spans="1:13" ht="31.5" customHeight="1" x14ac:dyDescent="0.2">
      <c r="A14" s="15" t="s">
        <v>30</v>
      </c>
      <c r="B14" s="111" t="s">
        <v>31</v>
      </c>
      <c r="C14" s="111" t="s">
        <v>1</v>
      </c>
      <c r="D14" s="177">
        <f>2125258.51+357465</f>
        <v>2482723.5099999998</v>
      </c>
      <c r="E14" s="177">
        <v>646334.22</v>
      </c>
      <c r="F14" s="60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137"/>
      <c r="M14" s="138"/>
    </row>
    <row r="15" spans="1:13" ht="29.3" customHeight="1" x14ac:dyDescent="0.2">
      <c r="A15" s="15" t="s">
        <v>32</v>
      </c>
      <c r="B15" s="111" t="s">
        <v>33</v>
      </c>
      <c r="C15" s="111" t="s">
        <v>1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108"/>
    </row>
    <row r="16" spans="1:13" ht="16.45" customHeight="1" x14ac:dyDescent="0.2">
      <c r="A16" s="54" t="s">
        <v>34</v>
      </c>
      <c r="B16" s="145" t="s">
        <v>35</v>
      </c>
      <c r="C16" s="170"/>
      <c r="D16" s="43">
        <f>D22+D29</f>
        <v>26513890.999920003</v>
      </c>
      <c r="E16" s="43">
        <f>E23+E28</f>
        <v>12700000</v>
      </c>
      <c r="F16" s="43">
        <f>F22+F29</f>
        <v>19891082.000459999</v>
      </c>
      <c r="G16" s="43">
        <f>G23+G28</f>
        <v>12700000</v>
      </c>
      <c r="H16" s="43">
        <f>H22+H29</f>
        <v>19891082.000459999</v>
      </c>
      <c r="I16" s="43">
        <f>I23+I28</f>
        <v>12700000</v>
      </c>
      <c r="J16" s="43">
        <v>0</v>
      </c>
      <c r="K16" s="43">
        <v>0</v>
      </c>
    </row>
    <row r="17" spans="1:11" ht="20.2" customHeight="1" x14ac:dyDescent="0.2">
      <c r="A17" s="15" t="s">
        <v>36</v>
      </c>
      <c r="B17" s="111" t="s">
        <v>37</v>
      </c>
      <c r="C17" s="111" t="s">
        <v>38</v>
      </c>
      <c r="D17" s="19" t="s">
        <v>1</v>
      </c>
      <c r="E17" s="60">
        <v>0</v>
      </c>
      <c r="F17" s="16" t="s">
        <v>1</v>
      </c>
      <c r="G17" s="60">
        <v>0</v>
      </c>
      <c r="H17" s="16" t="s">
        <v>1</v>
      </c>
      <c r="I17" s="60">
        <v>0</v>
      </c>
      <c r="J17" s="16" t="s">
        <v>1</v>
      </c>
      <c r="K17" s="60">
        <v>0</v>
      </c>
    </row>
    <row r="18" spans="1:11" ht="41.95" customHeight="1" x14ac:dyDescent="0.2">
      <c r="A18" s="15" t="s">
        <v>39</v>
      </c>
      <c r="B18" s="111" t="s">
        <v>40</v>
      </c>
      <c r="C18" s="111" t="s">
        <v>38</v>
      </c>
      <c r="D18" s="19" t="s">
        <v>1</v>
      </c>
      <c r="E18" s="60">
        <v>0</v>
      </c>
      <c r="F18" s="16" t="s">
        <v>1</v>
      </c>
      <c r="G18" s="60">
        <v>0</v>
      </c>
      <c r="H18" s="16" t="s">
        <v>1</v>
      </c>
      <c r="I18" s="60">
        <v>0</v>
      </c>
      <c r="J18" s="16" t="s">
        <v>1</v>
      </c>
      <c r="K18" s="60">
        <v>0</v>
      </c>
    </row>
    <row r="19" spans="1:11" ht="29.3" customHeight="1" x14ac:dyDescent="0.2">
      <c r="A19" s="15" t="s">
        <v>41</v>
      </c>
      <c r="B19" s="111" t="s">
        <v>42</v>
      </c>
      <c r="C19" s="111" t="s">
        <v>38</v>
      </c>
      <c r="D19" s="19" t="s">
        <v>1</v>
      </c>
      <c r="E19" s="60">
        <v>0</v>
      </c>
      <c r="F19" s="16" t="s">
        <v>1</v>
      </c>
      <c r="G19" s="60">
        <v>0</v>
      </c>
      <c r="H19" s="16" t="s">
        <v>1</v>
      </c>
      <c r="I19" s="60">
        <v>0</v>
      </c>
      <c r="J19" s="16" t="s">
        <v>1</v>
      </c>
      <c r="K19" s="60">
        <v>0</v>
      </c>
    </row>
    <row r="20" spans="1:11" ht="41.95" customHeight="1" x14ac:dyDescent="0.2">
      <c r="A20" s="15" t="s">
        <v>95</v>
      </c>
      <c r="B20" s="111" t="s">
        <v>43</v>
      </c>
      <c r="C20" s="111" t="s">
        <v>38</v>
      </c>
      <c r="D20" s="19" t="s">
        <v>1</v>
      </c>
      <c r="E20" s="60">
        <v>0</v>
      </c>
      <c r="F20" s="16" t="s">
        <v>1</v>
      </c>
      <c r="G20" s="60">
        <v>0</v>
      </c>
      <c r="H20" s="16" t="s">
        <v>1</v>
      </c>
      <c r="I20" s="60">
        <v>0</v>
      </c>
      <c r="J20" s="16" t="s">
        <v>1</v>
      </c>
      <c r="K20" s="60">
        <v>0</v>
      </c>
    </row>
    <row r="21" spans="1:11" ht="26.3" x14ac:dyDescent="0.2">
      <c r="A21" s="15" t="s">
        <v>44</v>
      </c>
      <c r="B21" s="111" t="s">
        <v>45</v>
      </c>
      <c r="C21" s="111" t="s">
        <v>46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</row>
    <row r="22" spans="1:11" ht="28.5" customHeight="1" x14ac:dyDescent="0.2">
      <c r="A22" s="15" t="s">
        <v>47</v>
      </c>
      <c r="B22" s="111" t="s">
        <v>48</v>
      </c>
      <c r="C22" s="111" t="s">
        <v>46</v>
      </c>
      <c r="D22" s="60">
        <f>'Раздел 3'!C61</f>
        <v>26513890.999920003</v>
      </c>
      <c r="E22" s="16" t="s">
        <v>1</v>
      </c>
      <c r="F22" s="60">
        <f>'Раздел 3'!D61</f>
        <v>19891082.000459999</v>
      </c>
      <c r="G22" s="16" t="s">
        <v>1</v>
      </c>
      <c r="H22" s="60">
        <f>'Раздел 3'!E61</f>
        <v>19891082.000459999</v>
      </c>
      <c r="I22" s="16" t="s">
        <v>1</v>
      </c>
      <c r="J22" s="60">
        <v>0</v>
      </c>
      <c r="K22" s="16" t="s">
        <v>1</v>
      </c>
    </row>
    <row r="23" spans="1:11" ht="29.3" customHeight="1" x14ac:dyDescent="0.2">
      <c r="A23" s="15" t="s">
        <v>49</v>
      </c>
      <c r="B23" s="111" t="s">
        <v>50</v>
      </c>
      <c r="C23" s="111" t="s">
        <v>46</v>
      </c>
      <c r="D23" s="19" t="s">
        <v>1</v>
      </c>
      <c r="E23" s="60">
        <f>'Раздел 3'!C62</f>
        <v>12700000</v>
      </c>
      <c r="F23" s="16" t="s">
        <v>1</v>
      </c>
      <c r="G23" s="56">
        <f>'Раздел 3'!D62</f>
        <v>12700000</v>
      </c>
      <c r="H23" s="16" t="s">
        <v>1</v>
      </c>
      <c r="I23" s="56">
        <f>'Раздел 3'!E62</f>
        <v>12700000</v>
      </c>
      <c r="J23" s="16" t="s">
        <v>1</v>
      </c>
      <c r="K23" s="16">
        <v>0</v>
      </c>
    </row>
    <row r="24" spans="1:11" ht="55.6" customHeight="1" x14ac:dyDescent="0.2">
      <c r="A24" s="15" t="s">
        <v>392</v>
      </c>
      <c r="B24" s="111" t="s">
        <v>51</v>
      </c>
      <c r="C24" s="111" t="s">
        <v>46</v>
      </c>
      <c r="D24" s="19" t="s">
        <v>1</v>
      </c>
      <c r="E24" s="60">
        <v>0</v>
      </c>
      <c r="F24" s="16" t="s">
        <v>1</v>
      </c>
      <c r="G24" s="56">
        <v>0</v>
      </c>
      <c r="H24" s="16" t="s">
        <v>1</v>
      </c>
      <c r="I24" s="56">
        <v>0</v>
      </c>
      <c r="J24" s="16" t="s">
        <v>1</v>
      </c>
      <c r="K24" s="16">
        <v>0</v>
      </c>
    </row>
    <row r="25" spans="1:11" ht="53.25" customHeight="1" x14ac:dyDescent="0.2">
      <c r="A25" s="15" t="s">
        <v>52</v>
      </c>
      <c r="B25" s="111" t="s">
        <v>53</v>
      </c>
      <c r="C25" s="111" t="s">
        <v>46</v>
      </c>
      <c r="D25" s="19" t="s">
        <v>1</v>
      </c>
      <c r="E25" s="60">
        <v>0</v>
      </c>
      <c r="F25" s="16" t="s">
        <v>1</v>
      </c>
      <c r="G25" s="56">
        <v>0</v>
      </c>
      <c r="H25" s="16" t="s">
        <v>1</v>
      </c>
      <c r="I25" s="56">
        <v>0</v>
      </c>
      <c r="J25" s="16" t="s">
        <v>1</v>
      </c>
      <c r="K25" s="16">
        <v>0</v>
      </c>
    </row>
    <row r="26" spans="1:11" ht="27.7" customHeight="1" x14ac:dyDescent="0.2">
      <c r="A26" s="15" t="s">
        <v>54</v>
      </c>
      <c r="B26" s="111" t="s">
        <v>55</v>
      </c>
      <c r="C26" s="111" t="s">
        <v>56</v>
      </c>
      <c r="D26" s="19" t="s">
        <v>1</v>
      </c>
      <c r="E26" s="60">
        <v>0</v>
      </c>
      <c r="F26" s="16" t="s">
        <v>1</v>
      </c>
      <c r="G26" s="56">
        <v>0</v>
      </c>
      <c r="H26" s="16" t="s">
        <v>1</v>
      </c>
      <c r="I26" s="56">
        <v>0</v>
      </c>
      <c r="J26" s="16" t="s">
        <v>1</v>
      </c>
      <c r="K26" s="16">
        <v>0</v>
      </c>
    </row>
    <row r="27" spans="1:11" ht="14.25" customHeight="1" x14ac:dyDescent="0.2">
      <c r="A27" s="4" t="s">
        <v>57</v>
      </c>
      <c r="B27" s="111" t="s">
        <v>58</v>
      </c>
      <c r="C27" s="111" t="s">
        <v>56</v>
      </c>
      <c r="D27" s="60">
        <v>0</v>
      </c>
      <c r="E27" s="60">
        <v>0</v>
      </c>
      <c r="F27" s="16"/>
      <c r="G27" s="56">
        <v>0</v>
      </c>
      <c r="H27" s="60">
        <v>0</v>
      </c>
      <c r="I27" s="56">
        <v>0</v>
      </c>
      <c r="J27" s="16">
        <v>0</v>
      </c>
      <c r="K27" s="16">
        <v>0</v>
      </c>
    </row>
    <row r="28" spans="1:11" ht="15.05" customHeight="1" x14ac:dyDescent="0.2">
      <c r="A28" s="15" t="s">
        <v>59</v>
      </c>
      <c r="B28" s="111" t="s">
        <v>60</v>
      </c>
      <c r="C28" s="111" t="s">
        <v>61</v>
      </c>
      <c r="D28" s="19" t="s">
        <v>1</v>
      </c>
      <c r="E28" s="60">
        <v>0</v>
      </c>
      <c r="F28" s="16" t="s">
        <v>1</v>
      </c>
      <c r="G28" s="56">
        <v>0</v>
      </c>
      <c r="H28" s="16" t="s">
        <v>1</v>
      </c>
      <c r="I28" s="56">
        <v>0</v>
      </c>
      <c r="J28" s="16" t="s">
        <v>1</v>
      </c>
      <c r="K28" s="16">
        <v>0</v>
      </c>
    </row>
    <row r="29" spans="1:11" ht="13.5" customHeight="1" x14ac:dyDescent="0.2">
      <c r="A29" s="4" t="s">
        <v>64</v>
      </c>
      <c r="B29" s="111">
        <v>1410</v>
      </c>
      <c r="C29" s="111">
        <v>150</v>
      </c>
      <c r="D29" s="60">
        <f>'Раздел 3'!C136</f>
        <v>0</v>
      </c>
      <c r="E29" s="60">
        <v>0</v>
      </c>
      <c r="F29" s="60">
        <f>'Раздел 3'!D136</f>
        <v>0</v>
      </c>
      <c r="G29" s="56">
        <v>0</v>
      </c>
      <c r="H29" s="60">
        <f>'Раздел 3'!E136</f>
        <v>0</v>
      </c>
      <c r="I29" s="56">
        <v>0</v>
      </c>
      <c r="J29" s="16">
        <v>0</v>
      </c>
      <c r="K29" s="16">
        <v>0</v>
      </c>
    </row>
    <row r="30" spans="1:11" ht="25.55" customHeight="1" x14ac:dyDescent="0.2">
      <c r="A30" s="15" t="s">
        <v>65</v>
      </c>
      <c r="B30" s="111">
        <v>1420</v>
      </c>
      <c r="C30" s="111">
        <v>150</v>
      </c>
      <c r="D30" s="60">
        <v>0</v>
      </c>
      <c r="E30" s="60">
        <v>0</v>
      </c>
      <c r="F30" s="60">
        <v>0</v>
      </c>
      <c r="G30" s="56">
        <v>0</v>
      </c>
      <c r="H30" s="60">
        <v>0</v>
      </c>
      <c r="I30" s="56">
        <v>0</v>
      </c>
      <c r="J30" s="16">
        <v>0</v>
      </c>
      <c r="K30" s="16">
        <v>0</v>
      </c>
    </row>
    <row r="31" spans="1:11" ht="15.85" customHeight="1" x14ac:dyDescent="0.2">
      <c r="A31" s="15" t="s">
        <v>62</v>
      </c>
      <c r="B31" s="111">
        <v>1500</v>
      </c>
      <c r="C31" s="111" t="s">
        <v>63</v>
      </c>
      <c r="D31" s="60">
        <v>0</v>
      </c>
      <c r="E31" s="16" t="s">
        <v>1</v>
      </c>
      <c r="F31" s="60">
        <v>0</v>
      </c>
      <c r="G31" s="16" t="s">
        <v>1</v>
      </c>
      <c r="H31" s="60">
        <v>0</v>
      </c>
      <c r="I31" s="16" t="s">
        <v>1</v>
      </c>
      <c r="J31" s="16">
        <v>0</v>
      </c>
      <c r="K31" s="16" t="s">
        <v>1</v>
      </c>
    </row>
    <row r="32" spans="1:11" ht="15.05" customHeight="1" x14ac:dyDescent="0.2">
      <c r="A32" s="15" t="s">
        <v>57</v>
      </c>
      <c r="B32" s="171"/>
      <c r="C32" s="171"/>
      <c r="D32" s="60">
        <v>0</v>
      </c>
      <c r="E32" s="16" t="s">
        <v>1</v>
      </c>
      <c r="F32" s="60">
        <v>0</v>
      </c>
      <c r="G32" s="16" t="s">
        <v>1</v>
      </c>
      <c r="H32" s="60">
        <v>0</v>
      </c>
      <c r="I32" s="16" t="s">
        <v>1</v>
      </c>
      <c r="J32" s="16">
        <v>0</v>
      </c>
      <c r="K32" s="16" t="s">
        <v>1</v>
      </c>
    </row>
    <row r="33" spans="1:13" ht="15.05" customHeight="1" x14ac:dyDescent="0.2">
      <c r="A33" s="15" t="s">
        <v>66</v>
      </c>
      <c r="B33" s="111" t="s">
        <v>67</v>
      </c>
      <c r="C33" s="111"/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16">
        <v>0</v>
      </c>
      <c r="K33" s="16">
        <v>0</v>
      </c>
    </row>
    <row r="34" spans="1:13" ht="13.15" x14ac:dyDescent="0.2">
      <c r="A34" s="4" t="s">
        <v>57</v>
      </c>
      <c r="B34" s="111"/>
      <c r="C34" s="111"/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16">
        <v>0</v>
      </c>
      <c r="K34" s="16">
        <v>0</v>
      </c>
    </row>
    <row r="35" spans="1:13" ht="16.45" customHeight="1" x14ac:dyDescent="0.2">
      <c r="A35" s="15" t="s">
        <v>68</v>
      </c>
      <c r="B35" s="111" t="s">
        <v>69</v>
      </c>
      <c r="C35" s="111" t="s">
        <v>1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16">
        <v>0</v>
      </c>
      <c r="K35" s="16">
        <v>0</v>
      </c>
    </row>
    <row r="36" spans="1:13" ht="38.200000000000003" customHeight="1" x14ac:dyDescent="0.2">
      <c r="A36" s="15" t="s">
        <v>70</v>
      </c>
      <c r="B36" s="111" t="s">
        <v>71</v>
      </c>
      <c r="C36" s="111" t="s">
        <v>72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  <c r="I36" s="56">
        <v>0</v>
      </c>
      <c r="J36" s="244" t="s">
        <v>1</v>
      </c>
      <c r="K36" s="244"/>
    </row>
    <row r="37" spans="1:13" ht="18" customHeight="1" x14ac:dyDescent="0.2">
      <c r="A37" s="54" t="s">
        <v>73</v>
      </c>
      <c r="B37" s="145" t="s">
        <v>74</v>
      </c>
      <c r="C37" s="145" t="s">
        <v>1</v>
      </c>
      <c r="D37" s="57">
        <f t="shared" ref="D37:I37" si="0">D38+D48+D52+D61</f>
        <v>28996614.507928587</v>
      </c>
      <c r="E37" s="57">
        <f t="shared" si="0"/>
        <v>13346334.217316143</v>
      </c>
      <c r="F37" s="57">
        <f t="shared" si="0"/>
        <v>19891082.002728581</v>
      </c>
      <c r="G37" s="57">
        <f t="shared" si="0"/>
        <v>12699999.997316143</v>
      </c>
      <c r="H37" s="57">
        <f t="shared" si="0"/>
        <v>19891082.002728581</v>
      </c>
      <c r="I37" s="57">
        <f t="shared" si="0"/>
        <v>12699999.997316143</v>
      </c>
      <c r="J37" s="249">
        <v>0</v>
      </c>
      <c r="K37" s="249"/>
      <c r="L37" s="108"/>
      <c r="M37" s="108"/>
    </row>
    <row r="38" spans="1:13" ht="15.05" customHeight="1" x14ac:dyDescent="0.2">
      <c r="A38" s="15" t="s">
        <v>75</v>
      </c>
      <c r="B38" s="111" t="s">
        <v>76</v>
      </c>
      <c r="C38" s="111" t="s">
        <v>1</v>
      </c>
      <c r="D38" s="57">
        <f>SUM(D39:D43)</f>
        <v>14123498.656628584</v>
      </c>
      <c r="E38" s="57">
        <f t="shared" ref="E38:I38" si="1">SUM(E39:E43)</f>
        <v>8833994.000316143</v>
      </c>
      <c r="F38" s="57">
        <f t="shared" si="1"/>
        <v>9420177.0014285836</v>
      </c>
      <c r="G38" s="57">
        <f t="shared" si="1"/>
        <v>8833994.000316143</v>
      </c>
      <c r="H38" s="57">
        <f t="shared" si="1"/>
        <v>9420177.0014285836</v>
      </c>
      <c r="I38" s="57">
        <f t="shared" si="1"/>
        <v>8833994.000316143</v>
      </c>
      <c r="J38" s="244" t="s">
        <v>1</v>
      </c>
      <c r="K38" s="244"/>
      <c r="L38" s="108"/>
      <c r="M38" s="108"/>
    </row>
    <row r="39" spans="1:13" ht="14.25" customHeight="1" x14ac:dyDescent="0.2">
      <c r="A39" s="4" t="s">
        <v>650</v>
      </c>
      <c r="B39" s="111" t="s">
        <v>252</v>
      </c>
      <c r="C39" s="111" t="s">
        <v>253</v>
      </c>
      <c r="D39" s="56">
        <f>'3.6.(211+213+850)'!C14</f>
        <v>10680163.998026239</v>
      </c>
      <c r="E39" s="56">
        <f>'3.6.(211+213+850)(2)'!C14</f>
        <v>6780775.0002426635</v>
      </c>
      <c r="F39" s="56">
        <f>'3.6.(211+213+850)'!D14</f>
        <v>7221504.9980262388</v>
      </c>
      <c r="G39" s="56">
        <f>'3.6.(211+213+850)(2)'!D11</f>
        <v>6780775.0002426635</v>
      </c>
      <c r="H39" s="56">
        <f>'3.6.(211+213+850)'!E14</f>
        <v>7221504.9980262388</v>
      </c>
      <c r="I39" s="56">
        <f>'3.6.(211+213+850)(2)'!E11</f>
        <v>6780775.0002426635</v>
      </c>
      <c r="J39" s="244" t="s">
        <v>1</v>
      </c>
      <c r="K39" s="244"/>
    </row>
    <row r="40" spans="1:13" ht="28.5" customHeight="1" x14ac:dyDescent="0.2">
      <c r="A40" s="15" t="s">
        <v>254</v>
      </c>
      <c r="B40" s="111" t="s">
        <v>255</v>
      </c>
      <c r="C40" s="111" t="s">
        <v>256</v>
      </c>
      <c r="D40" s="56">
        <f>'3.6.(211+213+850)'!L221+'3.6.(211+213+850)'!L230</f>
        <v>12000</v>
      </c>
      <c r="E40" s="56">
        <f>'3.6.(211+213+850)(2)'!L210</f>
        <v>0</v>
      </c>
      <c r="F40" s="56">
        <f>'3.6.(211+213+850)'!M221+'3.6.(211+213+850)'!M230</f>
        <v>12000</v>
      </c>
      <c r="G40" s="56">
        <f>'3.6.(211+213+850)(2)'!M210</f>
        <v>0</v>
      </c>
      <c r="H40" s="56">
        <f>'3.6.(211+213+850)'!N221+'3.6.(211+213+850)'!N230</f>
        <v>12000</v>
      </c>
      <c r="I40" s="56">
        <f>'3.6.(211+213+850)(2)'!N210</f>
        <v>0</v>
      </c>
      <c r="J40" s="244" t="s">
        <v>1</v>
      </c>
      <c r="K40" s="244"/>
    </row>
    <row r="41" spans="1:13" ht="28.5" customHeight="1" x14ac:dyDescent="0.2">
      <c r="A41" s="15" t="s">
        <v>701</v>
      </c>
      <c r="B41" s="179">
        <v>2121</v>
      </c>
      <c r="C41" s="179">
        <v>264</v>
      </c>
      <c r="D41" s="56">
        <f>'3.6.(211+213+850)'!L210+'3.6.(211+213+850)'!I210</f>
        <v>159532.66</v>
      </c>
      <c r="E41" s="56"/>
      <c r="F41" s="56"/>
      <c r="G41" s="56"/>
      <c r="H41" s="56"/>
      <c r="I41" s="56"/>
      <c r="J41" s="178"/>
      <c r="K41" s="178"/>
    </row>
    <row r="42" spans="1:13" ht="28.5" customHeight="1" x14ac:dyDescent="0.2">
      <c r="A42" s="15" t="s">
        <v>257</v>
      </c>
      <c r="B42" s="111" t="s">
        <v>258</v>
      </c>
      <c r="C42" s="111" t="s">
        <v>259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244" t="s">
        <v>1</v>
      </c>
      <c r="K42" s="244"/>
    </row>
    <row r="43" spans="1:13" ht="52.6" x14ac:dyDescent="0.2">
      <c r="A43" s="15" t="s">
        <v>260</v>
      </c>
      <c r="B43" s="111" t="s">
        <v>261</v>
      </c>
      <c r="C43" s="111" t="s">
        <v>262</v>
      </c>
      <c r="D43" s="56">
        <f>D44</f>
        <v>3271801.9986023451</v>
      </c>
      <c r="E43" s="56">
        <f t="shared" ref="E43:I43" si="2">E44</f>
        <v>2053219.0000734786</v>
      </c>
      <c r="F43" s="56">
        <f t="shared" si="2"/>
        <v>2186672.0034023453</v>
      </c>
      <c r="G43" s="56">
        <f t="shared" si="2"/>
        <v>2053219.0000734786</v>
      </c>
      <c r="H43" s="56">
        <f t="shared" si="2"/>
        <v>2186672.0034023453</v>
      </c>
      <c r="I43" s="56">
        <f t="shared" si="2"/>
        <v>2053219.0000734786</v>
      </c>
      <c r="J43" s="244" t="s">
        <v>1</v>
      </c>
      <c r="K43" s="244"/>
    </row>
    <row r="44" spans="1:13" ht="15.05" customHeight="1" x14ac:dyDescent="0.2">
      <c r="A44" s="15" t="s">
        <v>263</v>
      </c>
      <c r="B44" s="111" t="s">
        <v>264</v>
      </c>
      <c r="C44" s="111" t="s">
        <v>262</v>
      </c>
      <c r="D44" s="56">
        <f>'3.6.(211+213+850)'!C182</f>
        <v>3271801.9986023451</v>
      </c>
      <c r="E44" s="56">
        <f>'3.6.(211+213+850)(2)'!C174</f>
        <v>2053219.0000734786</v>
      </c>
      <c r="F44" s="56">
        <f>'3.6.(211+213+850)'!D182</f>
        <v>2186672.0034023453</v>
      </c>
      <c r="G44" s="56">
        <f>'3.6.(211+213+850)(2)'!D174</f>
        <v>2053219.0000734786</v>
      </c>
      <c r="H44" s="56">
        <f>'3.6.(211+213+850)'!E182</f>
        <v>2186672.0034023453</v>
      </c>
      <c r="I44" s="56">
        <f>'3.6.(211+213+850)(2)'!E177</f>
        <v>2053219.0000734786</v>
      </c>
      <c r="J44" s="244" t="s">
        <v>1</v>
      </c>
      <c r="K44" s="244"/>
    </row>
    <row r="45" spans="1:13" ht="15.85" customHeight="1" x14ac:dyDescent="0.2">
      <c r="A45" s="15" t="s">
        <v>265</v>
      </c>
      <c r="B45" s="111" t="s">
        <v>266</v>
      </c>
      <c r="C45" s="111" t="s">
        <v>262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244" t="s">
        <v>1</v>
      </c>
      <c r="K45" s="244"/>
    </row>
    <row r="46" spans="1:13" ht="26.3" customHeight="1" x14ac:dyDescent="0.2">
      <c r="A46" s="15" t="s">
        <v>267</v>
      </c>
      <c r="B46" s="111" t="s">
        <v>268</v>
      </c>
      <c r="C46" s="111" t="s">
        <v>269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244" t="s">
        <v>1</v>
      </c>
      <c r="K46" s="244"/>
    </row>
    <row r="47" spans="1:13" ht="26.3" customHeight="1" x14ac:dyDescent="0.2">
      <c r="A47" s="15" t="s">
        <v>662</v>
      </c>
      <c r="B47" s="111">
        <v>2240</v>
      </c>
      <c r="C47" s="111">
        <v>360</v>
      </c>
      <c r="D47" s="56"/>
      <c r="E47" s="56"/>
      <c r="F47" s="56"/>
      <c r="G47" s="56"/>
      <c r="H47" s="56"/>
      <c r="I47" s="56"/>
      <c r="J47" s="168"/>
      <c r="K47" s="168"/>
    </row>
    <row r="48" spans="1:13" ht="16.45" customHeight="1" x14ac:dyDescent="0.2">
      <c r="A48" s="18" t="s">
        <v>270</v>
      </c>
      <c r="B48" s="145" t="s">
        <v>271</v>
      </c>
      <c r="C48" s="145" t="s">
        <v>272</v>
      </c>
      <c r="D48" s="57">
        <f>SUM(D49:D51)</f>
        <v>0</v>
      </c>
      <c r="E48" s="57">
        <f t="shared" ref="E48:I48" si="3">SUM(E49:E51)</f>
        <v>68454</v>
      </c>
      <c r="F48" s="57">
        <f t="shared" si="3"/>
        <v>0</v>
      </c>
      <c r="G48" s="57">
        <f t="shared" si="3"/>
        <v>68454</v>
      </c>
      <c r="H48" s="57">
        <f t="shared" si="3"/>
        <v>0</v>
      </c>
      <c r="I48" s="57">
        <f t="shared" si="3"/>
        <v>68454</v>
      </c>
      <c r="J48" s="244" t="s">
        <v>1</v>
      </c>
      <c r="K48" s="244"/>
    </row>
    <row r="49" spans="1:11" ht="27.1" customHeight="1" x14ac:dyDescent="0.2">
      <c r="A49" s="15" t="s">
        <v>273</v>
      </c>
      <c r="B49" s="111" t="s">
        <v>274</v>
      </c>
      <c r="C49" s="111" t="s">
        <v>275</v>
      </c>
      <c r="D49" s="56">
        <v>0</v>
      </c>
      <c r="E49" s="56">
        <v>0</v>
      </c>
      <c r="F49" s="56">
        <v>0</v>
      </c>
      <c r="G49" s="56">
        <v>0</v>
      </c>
      <c r="H49" s="56">
        <v>0</v>
      </c>
      <c r="I49" s="56">
        <v>0</v>
      </c>
      <c r="J49" s="244" t="s">
        <v>1</v>
      </c>
      <c r="K49" s="244"/>
    </row>
    <row r="50" spans="1:11" ht="40.549999999999997" customHeight="1" x14ac:dyDescent="0.2">
      <c r="A50" s="15" t="s">
        <v>276</v>
      </c>
      <c r="B50" s="111" t="s">
        <v>277</v>
      </c>
      <c r="C50" s="111" t="s">
        <v>278</v>
      </c>
      <c r="D50" s="56">
        <f>'3.6.(211+213+850)'!I247</f>
        <v>0</v>
      </c>
      <c r="E50" s="56">
        <f>'3.6.(211+213+850)(2)'!I239</f>
        <v>68454</v>
      </c>
      <c r="F50" s="56">
        <f>'3.6.(211+213+850)'!J247</f>
        <v>0</v>
      </c>
      <c r="G50" s="56">
        <f>'3.6.(211+213+850)(2)'!J239</f>
        <v>68454</v>
      </c>
      <c r="H50" s="56">
        <f>'3.6.(211+213+850)'!K247</f>
        <v>0</v>
      </c>
      <c r="I50" s="56">
        <f>'3.6.(211+213+850)(2)'!K239</f>
        <v>68454</v>
      </c>
      <c r="J50" s="244" t="s">
        <v>1</v>
      </c>
      <c r="K50" s="244"/>
    </row>
    <row r="51" spans="1:11" ht="27.1" customHeight="1" x14ac:dyDescent="0.2">
      <c r="A51" s="17" t="s">
        <v>279</v>
      </c>
      <c r="B51" s="172" t="s">
        <v>280</v>
      </c>
      <c r="C51" s="172" t="s">
        <v>281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238" t="s">
        <v>1</v>
      </c>
      <c r="K51" s="238"/>
    </row>
    <row r="52" spans="1:11" ht="27.7" customHeight="1" x14ac:dyDescent="0.2">
      <c r="A52" s="15" t="s">
        <v>282</v>
      </c>
      <c r="B52" s="111" t="s">
        <v>283</v>
      </c>
      <c r="C52" s="111" t="s">
        <v>1</v>
      </c>
      <c r="D52" s="56">
        <f>SUM(D53:D58)</f>
        <v>0</v>
      </c>
      <c r="E52" s="56">
        <f>SUM(E53:E58)</f>
        <v>65000</v>
      </c>
      <c r="F52" s="56">
        <f t="shared" ref="E52:I52" si="4">SUM(F53:F58)</f>
        <v>0</v>
      </c>
      <c r="G52" s="56">
        <f t="shared" si="4"/>
        <v>40000</v>
      </c>
      <c r="H52" s="56">
        <f t="shared" si="4"/>
        <v>0</v>
      </c>
      <c r="I52" s="56">
        <f t="shared" si="4"/>
        <v>40000</v>
      </c>
      <c r="J52" s="238" t="s">
        <v>1</v>
      </c>
      <c r="K52" s="238"/>
    </row>
    <row r="53" spans="1:11" ht="27.1" customHeight="1" x14ac:dyDescent="0.2">
      <c r="A53" s="128" t="s">
        <v>593</v>
      </c>
      <c r="B53" s="111" t="s">
        <v>284</v>
      </c>
      <c r="C53" s="111">
        <v>613</v>
      </c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238" t="s">
        <v>1</v>
      </c>
      <c r="K53" s="238"/>
    </row>
    <row r="54" spans="1:11" ht="27.1" customHeight="1" x14ac:dyDescent="0.2">
      <c r="A54" s="128" t="s">
        <v>594</v>
      </c>
      <c r="B54" s="111">
        <v>2420</v>
      </c>
      <c r="C54" s="111">
        <v>623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238" t="s">
        <v>1</v>
      </c>
      <c r="K54" s="238"/>
    </row>
    <row r="55" spans="1:11" ht="27.1" customHeight="1" x14ac:dyDescent="0.2">
      <c r="A55" s="128" t="s">
        <v>595</v>
      </c>
      <c r="B55" s="111">
        <v>2430</v>
      </c>
      <c r="C55" s="111">
        <v>634</v>
      </c>
      <c r="D55" s="56">
        <v>0</v>
      </c>
      <c r="E55" s="56">
        <v>0</v>
      </c>
      <c r="F55" s="56">
        <v>0</v>
      </c>
      <c r="G55" s="56">
        <v>0</v>
      </c>
      <c r="H55" s="56">
        <v>0</v>
      </c>
      <c r="I55" s="56">
        <v>0</v>
      </c>
      <c r="J55" s="238" t="s">
        <v>1</v>
      </c>
      <c r="K55" s="238"/>
    </row>
    <row r="56" spans="1:11" ht="27.1" customHeight="1" x14ac:dyDescent="0.2">
      <c r="A56" s="128" t="s">
        <v>596</v>
      </c>
      <c r="B56" s="111">
        <v>2440</v>
      </c>
      <c r="C56" s="111">
        <v>810</v>
      </c>
      <c r="D56" s="56">
        <v>0</v>
      </c>
      <c r="E56" s="56">
        <v>0</v>
      </c>
      <c r="F56" s="56">
        <v>0</v>
      </c>
      <c r="G56" s="56">
        <v>0</v>
      </c>
      <c r="H56" s="56">
        <v>0</v>
      </c>
      <c r="I56" s="56">
        <v>0</v>
      </c>
      <c r="J56" s="238" t="s">
        <v>1</v>
      </c>
      <c r="K56" s="238"/>
    </row>
    <row r="57" spans="1:11" ht="16.45" customHeight="1" x14ac:dyDescent="0.2">
      <c r="A57" s="15" t="s">
        <v>285</v>
      </c>
      <c r="B57" s="111">
        <v>2450</v>
      </c>
      <c r="C57" s="111" t="s">
        <v>286</v>
      </c>
      <c r="D57" s="56">
        <f>'3.6.(211+213+850)'!I257</f>
        <v>0</v>
      </c>
      <c r="E57" s="56">
        <f>'3.6.(211+213+850)(2)'!I248</f>
        <v>65000</v>
      </c>
      <c r="F57" s="56">
        <f>'3.6.(211+213+850)'!J257</f>
        <v>0</v>
      </c>
      <c r="G57" s="56">
        <f>'3.6.(211+213+850)(2)'!J248</f>
        <v>40000</v>
      </c>
      <c r="H57" s="56">
        <f>'3.6.(211+213+850)'!K257</f>
        <v>0</v>
      </c>
      <c r="I57" s="56">
        <f>'3.6.(211+213+850)(2)'!K248</f>
        <v>40000</v>
      </c>
      <c r="J57" s="238" t="s">
        <v>1</v>
      </c>
      <c r="K57" s="238"/>
    </row>
    <row r="58" spans="1:11" ht="41.35" customHeight="1" x14ac:dyDescent="0.2">
      <c r="A58" s="15" t="s">
        <v>287</v>
      </c>
      <c r="B58" s="111">
        <v>2460</v>
      </c>
      <c r="C58" s="111" t="s">
        <v>288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238" t="s">
        <v>1</v>
      </c>
      <c r="K58" s="238"/>
    </row>
    <row r="59" spans="1:11" ht="27.1" customHeight="1" x14ac:dyDescent="0.2">
      <c r="A59" s="17" t="s">
        <v>289</v>
      </c>
      <c r="B59" s="172" t="s">
        <v>290</v>
      </c>
      <c r="C59" s="172" t="s">
        <v>1</v>
      </c>
      <c r="D59" s="58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238" t="s">
        <v>1</v>
      </c>
      <c r="K59" s="238"/>
    </row>
    <row r="60" spans="1:11" ht="53.25" customHeight="1" x14ac:dyDescent="0.2">
      <c r="A60" s="15" t="s">
        <v>291</v>
      </c>
      <c r="B60" s="111" t="s">
        <v>292</v>
      </c>
      <c r="C60" s="111" t="s">
        <v>293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244" t="s">
        <v>1</v>
      </c>
      <c r="K60" s="244"/>
    </row>
    <row r="61" spans="1:11" ht="15.05" customHeight="1" x14ac:dyDescent="0.2">
      <c r="A61" s="18" t="s">
        <v>294</v>
      </c>
      <c r="B61" s="145" t="s">
        <v>295</v>
      </c>
      <c r="C61" s="111" t="s">
        <v>1</v>
      </c>
      <c r="D61" s="57">
        <f t="shared" ref="D61:I61" si="5">SUM(D62:D64)</f>
        <v>14873115.851300001</v>
      </c>
      <c r="E61" s="57">
        <f t="shared" si="5"/>
        <v>4378886.2170000002</v>
      </c>
      <c r="F61" s="57">
        <f t="shared" si="5"/>
        <v>10470905.0013</v>
      </c>
      <c r="G61" s="57">
        <f t="shared" si="5"/>
        <v>3757551.997</v>
      </c>
      <c r="H61" s="57">
        <f t="shared" si="5"/>
        <v>10470905.0013</v>
      </c>
      <c r="I61" s="57">
        <f t="shared" si="5"/>
        <v>3757551.997</v>
      </c>
      <c r="J61" s="60">
        <v>0</v>
      </c>
      <c r="K61" s="60">
        <v>0</v>
      </c>
    </row>
    <row r="62" spans="1:11" ht="28.5" customHeight="1" x14ac:dyDescent="0.2">
      <c r="A62" s="15" t="s">
        <v>296</v>
      </c>
      <c r="B62" s="111" t="s">
        <v>297</v>
      </c>
      <c r="C62" s="111" t="s">
        <v>298</v>
      </c>
      <c r="D62" s="56">
        <v>0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60">
        <v>0</v>
      </c>
      <c r="K62" s="60">
        <v>0</v>
      </c>
    </row>
    <row r="63" spans="1:11" ht="29.3" customHeight="1" x14ac:dyDescent="0.2">
      <c r="A63" s="15" t="s">
        <v>299</v>
      </c>
      <c r="B63" s="111" t="s">
        <v>300</v>
      </c>
      <c r="C63" s="111" t="s">
        <v>301</v>
      </c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60">
        <v>0</v>
      </c>
      <c r="K63" s="60">
        <v>0</v>
      </c>
    </row>
    <row r="64" spans="1:11" ht="14.25" customHeight="1" x14ac:dyDescent="0.2">
      <c r="A64" s="18" t="s">
        <v>302</v>
      </c>
      <c r="B64" s="145" t="s">
        <v>303</v>
      </c>
      <c r="C64" s="145">
        <v>244</v>
      </c>
      <c r="D64" s="57">
        <f t="shared" ref="D64:I64" si="6">SUM(D66:D82)</f>
        <v>14873115.851300001</v>
      </c>
      <c r="E64" s="57">
        <f t="shared" si="6"/>
        <v>4378886.2170000002</v>
      </c>
      <c r="F64" s="57">
        <f t="shared" si="6"/>
        <v>10470905.0013</v>
      </c>
      <c r="G64" s="57">
        <f t="shared" si="6"/>
        <v>3757551.997</v>
      </c>
      <c r="H64" s="57">
        <f t="shared" si="6"/>
        <v>10470905.0013</v>
      </c>
      <c r="I64" s="57">
        <f t="shared" si="6"/>
        <v>3757551.997</v>
      </c>
      <c r="J64" s="61">
        <v>0</v>
      </c>
      <c r="K64" s="61">
        <v>0</v>
      </c>
    </row>
    <row r="65" spans="1:11" ht="13.5" customHeight="1" x14ac:dyDescent="0.2">
      <c r="A65" s="4" t="s">
        <v>304</v>
      </c>
      <c r="B65" s="111"/>
      <c r="C65" s="111"/>
      <c r="D65" s="56"/>
      <c r="E65" s="56"/>
      <c r="F65" s="56"/>
      <c r="G65" s="56"/>
      <c r="H65" s="56"/>
      <c r="I65" s="56"/>
      <c r="J65" s="60"/>
      <c r="K65" s="60"/>
    </row>
    <row r="66" spans="1:11" ht="15.05" customHeight="1" x14ac:dyDescent="0.2">
      <c r="A66" s="90" t="s">
        <v>472</v>
      </c>
      <c r="B66" s="111">
        <v>2641</v>
      </c>
      <c r="C66" s="111">
        <v>244</v>
      </c>
      <c r="D66" s="56">
        <f>'3.13(244)'!C13</f>
        <v>228394.11</v>
      </c>
      <c r="E66" s="56">
        <f>'3.13(244)(2)'!C12</f>
        <v>24600</v>
      </c>
      <c r="F66" s="56">
        <f>'3.13(244)'!D13</f>
        <v>202643</v>
      </c>
      <c r="G66" s="56">
        <f>'3.13(244)(2)'!D12</f>
        <v>24600</v>
      </c>
      <c r="H66" s="56">
        <f>'3.13(244)'!E13</f>
        <v>202643</v>
      </c>
      <c r="I66" s="56">
        <f>'3.13(244)(2)'!E12</f>
        <v>24600</v>
      </c>
      <c r="J66" s="60"/>
      <c r="K66" s="60"/>
    </row>
    <row r="67" spans="1:11" ht="15.05" customHeight="1" x14ac:dyDescent="0.2">
      <c r="A67" s="90" t="s">
        <v>473</v>
      </c>
      <c r="B67" s="111">
        <v>2642</v>
      </c>
      <c r="C67" s="111">
        <v>244</v>
      </c>
      <c r="D67" s="56">
        <f>'3.13(244)'!C15+'3.13(244)(5)'!C15</f>
        <v>23250</v>
      </c>
      <c r="E67" s="56">
        <f>'3.13(244)(2)'!C14</f>
        <v>87500</v>
      </c>
      <c r="F67" s="56">
        <f>'3.13(244)'!D15</f>
        <v>0</v>
      </c>
      <c r="G67" s="56">
        <f>'3.13(244)(2)'!D14</f>
        <v>87500</v>
      </c>
      <c r="H67" s="56">
        <f>'3.13(244)'!E15</f>
        <v>0</v>
      </c>
      <c r="I67" s="56">
        <f>'3.13(244)(2)'!E14</f>
        <v>87500</v>
      </c>
      <c r="J67" s="60"/>
      <c r="K67" s="60"/>
    </row>
    <row r="68" spans="1:11" ht="15.05" customHeight="1" x14ac:dyDescent="0.2">
      <c r="A68" s="90" t="s">
        <v>474</v>
      </c>
      <c r="B68" s="111">
        <v>2643</v>
      </c>
      <c r="C68" s="111">
        <v>244</v>
      </c>
      <c r="D68" s="56">
        <f>'3.13(244)'!C16</f>
        <v>719102.85</v>
      </c>
      <c r="E68" s="56">
        <v>0</v>
      </c>
      <c r="F68" s="56">
        <f>'3.13(244)'!D16</f>
        <v>715852.85</v>
      </c>
      <c r="G68" s="56">
        <v>0</v>
      </c>
      <c r="H68" s="56">
        <f>'3.13(244)'!E16</f>
        <v>715852.85</v>
      </c>
      <c r="I68" s="56">
        <v>0</v>
      </c>
      <c r="J68" s="60"/>
      <c r="K68" s="60"/>
    </row>
    <row r="69" spans="1:11" ht="15.05" customHeight="1" x14ac:dyDescent="0.2">
      <c r="A69" s="90" t="s">
        <v>475</v>
      </c>
      <c r="B69" s="111">
        <v>2644</v>
      </c>
      <c r="C69" s="111">
        <v>244</v>
      </c>
      <c r="D69" s="56">
        <f>'3.13(244)'!C18</f>
        <v>0</v>
      </c>
      <c r="E69" s="56">
        <f>'3.13(244)(2)'!C16</f>
        <v>0</v>
      </c>
      <c r="F69" s="56">
        <f>'3.13(244)'!D18</f>
        <v>0</v>
      </c>
      <c r="G69" s="56">
        <f>'3.13(244)(2)'!D16</f>
        <v>0</v>
      </c>
      <c r="H69" s="56">
        <f>'3.13(244)'!E18</f>
        <v>0</v>
      </c>
      <c r="I69" s="56">
        <f>'3.13(244)(2)'!E16</f>
        <v>0</v>
      </c>
      <c r="J69" s="60"/>
      <c r="K69" s="60"/>
    </row>
    <row r="70" spans="1:11" ht="15.05" customHeight="1" x14ac:dyDescent="0.2">
      <c r="A70" s="90" t="s">
        <v>476</v>
      </c>
      <c r="B70" s="111">
        <v>2645</v>
      </c>
      <c r="C70" s="111">
        <v>244</v>
      </c>
      <c r="D70" s="56">
        <f>'3.13(244)'!C19+'3.13(244)(5)'!C19</f>
        <v>2926961</v>
      </c>
      <c r="E70" s="56">
        <f>'3.13(244)(2)'!C17</f>
        <v>39600</v>
      </c>
      <c r="F70" s="56">
        <f>'3.13(244)'!D19</f>
        <v>2839261</v>
      </c>
      <c r="G70" s="56">
        <f>'3.13(244)(2)'!D17</f>
        <v>33600</v>
      </c>
      <c r="H70" s="56">
        <f>'3.13(244)'!E19</f>
        <v>2839261</v>
      </c>
      <c r="I70" s="56">
        <f>'3.13(244)(2)'!E17</f>
        <v>33600</v>
      </c>
      <c r="J70" s="60"/>
      <c r="K70" s="60"/>
    </row>
    <row r="71" spans="1:11" ht="15.05" customHeight="1" x14ac:dyDescent="0.2">
      <c r="A71" s="90" t="s">
        <v>477</v>
      </c>
      <c r="B71" s="111">
        <v>2646</v>
      </c>
      <c r="C71" s="111">
        <v>244</v>
      </c>
      <c r="D71" s="56">
        <f>'3.13(244)'!C20</f>
        <v>0</v>
      </c>
      <c r="E71" s="56">
        <f>'3.13(244)(2)'!C18</f>
        <v>0</v>
      </c>
      <c r="F71" s="56">
        <f>'3.13(244)'!D20</f>
        <v>0</v>
      </c>
      <c r="G71" s="56">
        <f>'3.13(244)(2)'!D18</f>
        <v>0</v>
      </c>
      <c r="H71" s="56">
        <f>'3.13(244)'!E20</f>
        <v>0</v>
      </c>
      <c r="I71" s="56">
        <f>'3.13(244)(2)'!E18</f>
        <v>0</v>
      </c>
      <c r="J71" s="60"/>
      <c r="K71" s="60"/>
    </row>
    <row r="72" spans="1:11" ht="13.5" customHeight="1" x14ac:dyDescent="0.2">
      <c r="A72" s="90" t="s">
        <v>565</v>
      </c>
      <c r="B72" s="111">
        <v>2647</v>
      </c>
      <c r="C72" s="111">
        <v>244</v>
      </c>
      <c r="D72" s="56">
        <f>'3.13(244)'!C21+'3.13(244)'!C22+'3.13(244)(5)'!C22</f>
        <v>4110455</v>
      </c>
      <c r="E72" s="56">
        <f>'3.13(244)(2)'!C19+'3.13(244)(2)'!C20</f>
        <v>662294.22</v>
      </c>
      <c r="F72" s="56">
        <f>'3.13(244)'!D21+'3.13(244)'!D22</f>
        <v>2643825</v>
      </c>
      <c r="G72" s="56">
        <f>'3.13(244)(2)'!D19+'3.13(244)(2)'!D20</f>
        <v>540960</v>
      </c>
      <c r="H72" s="56">
        <f>'3.13(244)'!E21+'3.13(244)'!E22</f>
        <v>2643825</v>
      </c>
      <c r="I72" s="56">
        <f>'3.13(244)(2)'!E19+'3.13(244)(2)'!E20</f>
        <v>540960</v>
      </c>
      <c r="J72" s="60"/>
      <c r="K72" s="60"/>
    </row>
    <row r="73" spans="1:11" ht="25.55" customHeight="1" x14ac:dyDescent="0.2">
      <c r="A73" s="15" t="s">
        <v>480</v>
      </c>
      <c r="B73" s="111">
        <v>2648</v>
      </c>
      <c r="C73" s="111">
        <v>244</v>
      </c>
      <c r="D73" s="56">
        <f>'3.13(244)'!C23</f>
        <v>542320</v>
      </c>
      <c r="E73" s="56">
        <f>'3.13(244)(2)'!C21</f>
        <v>500000</v>
      </c>
      <c r="F73" s="56">
        <f>'3.13(244)'!D23</f>
        <v>0</v>
      </c>
      <c r="G73" s="56">
        <f>'3.13(244)(2)'!D21</f>
        <v>0</v>
      </c>
      <c r="H73" s="56">
        <f>'3.13(244)'!E23</f>
        <v>0</v>
      </c>
      <c r="I73" s="56">
        <f>'3.13(244)(2)'!E21</f>
        <v>0</v>
      </c>
      <c r="J73" s="60"/>
      <c r="K73" s="60"/>
    </row>
    <row r="74" spans="1:11" ht="38.200000000000003" customHeight="1" x14ac:dyDescent="0.2">
      <c r="A74" s="15" t="s">
        <v>548</v>
      </c>
      <c r="B74" s="111">
        <v>26491</v>
      </c>
      <c r="C74" s="111">
        <v>244</v>
      </c>
      <c r="D74" s="56">
        <f>'3.13(244)'!C25</f>
        <v>0</v>
      </c>
      <c r="E74" s="56">
        <f>'3.13(244)(2)'!C23</f>
        <v>0</v>
      </c>
      <c r="F74" s="56">
        <f>'3.13(244)'!D25</f>
        <v>0</v>
      </c>
      <c r="G74" s="56">
        <f>'3.13(244)(2)'!D23</f>
        <v>0</v>
      </c>
      <c r="H74" s="56">
        <f>'3.13(244)'!E25</f>
        <v>0</v>
      </c>
      <c r="I74" s="56">
        <f>'3.13(244)(2)'!E23</f>
        <v>0</v>
      </c>
      <c r="J74" s="60"/>
      <c r="K74" s="60"/>
    </row>
    <row r="75" spans="1:11" ht="15.05" customHeight="1" x14ac:dyDescent="0.2">
      <c r="A75" s="15" t="s">
        <v>549</v>
      </c>
      <c r="B75" s="111">
        <v>26492</v>
      </c>
      <c r="C75" s="111">
        <v>244</v>
      </c>
      <c r="D75" s="56">
        <f>'3.13(244)'!C26</f>
        <v>0</v>
      </c>
      <c r="E75" s="56">
        <f>'3.13(244)(2)'!C24</f>
        <v>0</v>
      </c>
      <c r="F75" s="56">
        <f>'3.13(244)'!D26</f>
        <v>0</v>
      </c>
      <c r="G75" s="56">
        <f>'3.13(244)(2)'!D24</f>
        <v>0</v>
      </c>
      <c r="H75" s="56">
        <f>'3.13(244)'!E26</f>
        <v>0</v>
      </c>
      <c r="I75" s="56">
        <f>'3.13(244)(2)'!E24</f>
        <v>0</v>
      </c>
      <c r="J75" s="60"/>
      <c r="K75" s="60"/>
    </row>
    <row r="76" spans="1:11" ht="26.3" customHeight="1" x14ac:dyDescent="0.2">
      <c r="A76" s="15" t="s">
        <v>550</v>
      </c>
      <c r="B76" s="111">
        <v>26493</v>
      </c>
      <c r="C76" s="111">
        <v>244</v>
      </c>
      <c r="D76" s="56">
        <f>'3.13(244)'!C27</f>
        <v>10000</v>
      </c>
      <c r="E76" s="56">
        <f>'3.13(244)(2)'!C25</f>
        <v>223450</v>
      </c>
      <c r="F76" s="56">
        <f>'3.13(244)'!D27</f>
        <v>0</v>
      </c>
      <c r="G76" s="56">
        <f>'3.13(244)(2)'!D25</f>
        <v>223450</v>
      </c>
      <c r="H76" s="56">
        <f>'3.13(244)'!E27</f>
        <v>0</v>
      </c>
      <c r="I76" s="56">
        <f>'3.13(244)(2)'!E25</f>
        <v>223450</v>
      </c>
      <c r="J76" s="60"/>
      <c r="K76" s="60"/>
    </row>
    <row r="77" spans="1:11" ht="14.25" customHeight="1" x14ac:dyDescent="0.2">
      <c r="A77" s="15" t="s">
        <v>551</v>
      </c>
      <c r="B77" s="111">
        <v>26494</v>
      </c>
      <c r="C77" s="111">
        <v>244</v>
      </c>
      <c r="D77" s="56">
        <f>'3.13(244)'!C28</f>
        <v>0</v>
      </c>
      <c r="E77" s="56">
        <f>'3.13(244)(2)'!C26</f>
        <v>0</v>
      </c>
      <c r="F77" s="56">
        <f>'3.13(244)'!D28</f>
        <v>0</v>
      </c>
      <c r="G77" s="56">
        <f>'3.13(244)(2)'!D26</f>
        <v>0</v>
      </c>
      <c r="H77" s="56">
        <f>'3.13(244)'!E28</f>
        <v>0</v>
      </c>
      <c r="I77" s="56">
        <f>'3.13(244)(2)'!E26</f>
        <v>0</v>
      </c>
      <c r="J77" s="60"/>
      <c r="K77" s="60"/>
    </row>
    <row r="78" spans="1:11" ht="15.05" customHeight="1" x14ac:dyDescent="0.2">
      <c r="A78" s="15" t="s">
        <v>552</v>
      </c>
      <c r="B78" s="111">
        <v>26495</v>
      </c>
      <c r="C78" s="111">
        <v>244</v>
      </c>
      <c r="D78" s="56">
        <f>'3.13(244)'!C29</f>
        <v>0</v>
      </c>
      <c r="E78" s="56">
        <f>'3.13(244)(2)'!C27</f>
        <v>56200</v>
      </c>
      <c r="F78" s="56">
        <f>'3.13(244)'!D29</f>
        <v>0</v>
      </c>
      <c r="G78" s="56">
        <f>'3.13(244)(2)'!D27</f>
        <v>56200</v>
      </c>
      <c r="H78" s="56">
        <f>'3.13(244)'!E29</f>
        <v>0</v>
      </c>
      <c r="I78" s="56">
        <f>'3.13(244)(2)'!E27</f>
        <v>56200</v>
      </c>
      <c r="J78" s="60"/>
      <c r="K78" s="60"/>
    </row>
    <row r="79" spans="1:11" ht="25.55" customHeight="1" x14ac:dyDescent="0.2">
      <c r="A79" s="15" t="s">
        <v>553</v>
      </c>
      <c r="B79" s="111">
        <v>26496</v>
      </c>
      <c r="C79" s="111">
        <v>244</v>
      </c>
      <c r="D79" s="56">
        <f>'3.13(244)'!C30</f>
        <v>2607844.11</v>
      </c>
      <c r="E79" s="56">
        <f>'3.13(244)(2)'!C28</f>
        <v>917812</v>
      </c>
      <c r="F79" s="56">
        <f>'3.13(244)'!D30</f>
        <v>1280538</v>
      </c>
      <c r="G79" s="56">
        <f>'3.13(244)(2)'!D28</f>
        <v>923812</v>
      </c>
      <c r="H79" s="56">
        <f>'3.13(244)'!E30</f>
        <v>1280538</v>
      </c>
      <c r="I79" s="56">
        <f>'3.13(244)(2)'!E28</f>
        <v>923812</v>
      </c>
      <c r="J79" s="60"/>
      <c r="K79" s="60"/>
    </row>
    <row r="80" spans="1:11" ht="26.3" customHeight="1" x14ac:dyDescent="0.2">
      <c r="A80" s="15" t="s">
        <v>554</v>
      </c>
      <c r="B80" s="111">
        <v>26497</v>
      </c>
      <c r="C80" s="111">
        <v>244</v>
      </c>
      <c r="D80" s="56">
        <f>'3.13(244)'!C31</f>
        <v>25000</v>
      </c>
      <c r="E80" s="56">
        <f>'3.13(244)(2)'!C29</f>
        <v>50000</v>
      </c>
      <c r="F80" s="56">
        <f>'3.13(244)'!D31</f>
        <v>0</v>
      </c>
      <c r="G80" s="56">
        <f>'3.13(244)(2)'!D29</f>
        <v>50000</v>
      </c>
      <c r="H80" s="56">
        <f>'3.13(244)'!E31</f>
        <v>0</v>
      </c>
      <c r="I80" s="56">
        <f>'3.13(244)(2)'!E29</f>
        <v>50000</v>
      </c>
      <c r="J80" s="60"/>
      <c r="K80" s="60"/>
    </row>
    <row r="81" spans="1:11" ht="42.75" customHeight="1" x14ac:dyDescent="0.2">
      <c r="A81" s="15" t="s">
        <v>663</v>
      </c>
      <c r="B81" s="111">
        <v>2650</v>
      </c>
      <c r="C81" s="111">
        <v>246</v>
      </c>
      <c r="D81" s="56"/>
      <c r="E81" s="56"/>
      <c r="F81" s="56"/>
      <c r="G81" s="56"/>
      <c r="H81" s="56"/>
      <c r="I81" s="56"/>
      <c r="J81" s="60"/>
      <c r="K81" s="60"/>
    </row>
    <row r="82" spans="1:11" ht="13.5" customHeight="1" x14ac:dyDescent="0.2">
      <c r="A82" s="15" t="s">
        <v>597</v>
      </c>
      <c r="B82" s="111">
        <v>2660</v>
      </c>
      <c r="C82" s="111">
        <v>247</v>
      </c>
      <c r="D82" s="56">
        <f>'3.13(244)'!C17+'3.13(244)(5)'!C17</f>
        <v>3679788.7812999999</v>
      </c>
      <c r="E82" s="56">
        <f>'3.13(244)(2)'!C15</f>
        <v>1817429.997</v>
      </c>
      <c r="F82" s="56">
        <f>'3.13(244)'!D17</f>
        <v>2788785.1513</v>
      </c>
      <c r="G82" s="56">
        <f>'3.13(244)(2)'!D15</f>
        <v>1817429.997</v>
      </c>
      <c r="H82" s="56">
        <f>'3.13(244)'!E17</f>
        <v>2788785.1513</v>
      </c>
      <c r="I82" s="56">
        <f>'3.13(244)(2)'!E15</f>
        <v>1817429.997</v>
      </c>
      <c r="J82" s="60"/>
      <c r="K82" s="60"/>
    </row>
    <row r="83" spans="1:11" ht="26.3" customHeight="1" x14ac:dyDescent="0.2">
      <c r="A83" s="15" t="s">
        <v>305</v>
      </c>
      <c r="B83" s="111">
        <v>2700</v>
      </c>
      <c r="C83" s="111" t="s">
        <v>306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60">
        <v>0</v>
      </c>
      <c r="K83" s="60">
        <v>0</v>
      </c>
    </row>
    <row r="84" spans="1:11" ht="41.95" customHeight="1" x14ac:dyDescent="0.2">
      <c r="A84" s="15" t="s">
        <v>307</v>
      </c>
      <c r="B84" s="111">
        <v>2710</v>
      </c>
      <c r="C84" s="111" t="s">
        <v>308</v>
      </c>
      <c r="D84" s="56">
        <v>0</v>
      </c>
      <c r="E84" s="56">
        <v>0</v>
      </c>
      <c r="F84" s="56">
        <v>0</v>
      </c>
      <c r="G84" s="56">
        <v>0</v>
      </c>
      <c r="H84" s="56">
        <v>0</v>
      </c>
      <c r="I84" s="56">
        <v>0</v>
      </c>
      <c r="J84" s="60">
        <v>0</v>
      </c>
      <c r="K84" s="60">
        <v>0</v>
      </c>
    </row>
    <row r="85" spans="1:11" ht="39.450000000000003" x14ac:dyDescent="0.2">
      <c r="A85" s="17" t="s">
        <v>309</v>
      </c>
      <c r="B85" s="111">
        <v>2720</v>
      </c>
      <c r="C85" s="172" t="s">
        <v>310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62">
        <v>0</v>
      </c>
      <c r="K85" s="62">
        <v>0</v>
      </c>
    </row>
    <row r="86" spans="1:11" ht="14.25" customHeight="1" x14ac:dyDescent="0.2">
      <c r="A86" s="18" t="s">
        <v>311</v>
      </c>
      <c r="B86" s="145" t="s">
        <v>312</v>
      </c>
      <c r="C86" s="145" t="s">
        <v>313</v>
      </c>
      <c r="D86" s="250">
        <v>0</v>
      </c>
      <c r="E86" s="251"/>
      <c r="F86" s="250">
        <v>0</v>
      </c>
      <c r="G86" s="251"/>
      <c r="H86" s="250">
        <v>0</v>
      </c>
      <c r="I86" s="251"/>
      <c r="J86" s="252" t="s">
        <v>1</v>
      </c>
      <c r="K86" s="253"/>
    </row>
    <row r="87" spans="1:11" ht="15.05" customHeight="1" x14ac:dyDescent="0.2">
      <c r="A87" s="15" t="s">
        <v>314</v>
      </c>
      <c r="B87" s="111" t="s">
        <v>315</v>
      </c>
      <c r="C87" s="111"/>
      <c r="D87" s="250">
        <v>0</v>
      </c>
      <c r="E87" s="251"/>
      <c r="F87" s="250">
        <v>0</v>
      </c>
      <c r="G87" s="251"/>
      <c r="H87" s="250">
        <v>0</v>
      </c>
      <c r="I87" s="251"/>
      <c r="J87" s="252" t="s">
        <v>1</v>
      </c>
      <c r="K87" s="253"/>
    </row>
    <row r="88" spans="1:11" ht="15.05" customHeight="1" x14ac:dyDescent="0.2">
      <c r="A88" s="15" t="s">
        <v>316</v>
      </c>
      <c r="B88" s="111" t="s">
        <v>317</v>
      </c>
      <c r="C88" s="111"/>
      <c r="D88" s="250">
        <v>0</v>
      </c>
      <c r="E88" s="251"/>
      <c r="F88" s="250">
        <v>0</v>
      </c>
      <c r="G88" s="251"/>
      <c r="H88" s="250">
        <v>0</v>
      </c>
      <c r="I88" s="251"/>
      <c r="J88" s="252" t="s">
        <v>1</v>
      </c>
      <c r="K88" s="253"/>
    </row>
    <row r="89" spans="1:11" ht="15.05" customHeight="1" x14ac:dyDescent="0.2">
      <c r="A89" s="15" t="s">
        <v>318</v>
      </c>
      <c r="B89" s="111" t="s">
        <v>319</v>
      </c>
      <c r="C89" s="111"/>
      <c r="D89" s="250">
        <v>0</v>
      </c>
      <c r="E89" s="251"/>
      <c r="F89" s="250">
        <v>0</v>
      </c>
      <c r="G89" s="251"/>
      <c r="H89" s="250">
        <v>0</v>
      </c>
      <c r="I89" s="251"/>
      <c r="J89" s="252" t="s">
        <v>1</v>
      </c>
      <c r="K89" s="253"/>
    </row>
    <row r="90" spans="1:11" ht="16.45" customHeight="1" x14ac:dyDescent="0.2">
      <c r="A90" s="18" t="s">
        <v>320</v>
      </c>
      <c r="B90" s="145" t="s">
        <v>321</v>
      </c>
      <c r="C90" s="111" t="s">
        <v>1</v>
      </c>
      <c r="D90" s="250">
        <v>0</v>
      </c>
      <c r="E90" s="251"/>
      <c r="F90" s="250">
        <v>0</v>
      </c>
      <c r="G90" s="251"/>
      <c r="H90" s="250">
        <v>0</v>
      </c>
      <c r="I90" s="251"/>
      <c r="J90" s="252" t="s">
        <v>1</v>
      </c>
      <c r="K90" s="253"/>
    </row>
    <row r="91" spans="1:11" ht="14.25" customHeight="1" x14ac:dyDescent="0.2">
      <c r="A91" s="15" t="s">
        <v>322</v>
      </c>
      <c r="B91" s="111" t="s">
        <v>323</v>
      </c>
      <c r="C91" s="111" t="s">
        <v>324</v>
      </c>
      <c r="D91" s="250">
        <v>0</v>
      </c>
      <c r="E91" s="251"/>
      <c r="F91" s="250">
        <v>0</v>
      </c>
      <c r="G91" s="251"/>
      <c r="H91" s="250">
        <v>0</v>
      </c>
      <c r="I91" s="251"/>
      <c r="J91" s="252" t="s">
        <v>1</v>
      </c>
      <c r="K91" s="253"/>
    </row>
    <row r="92" spans="1:11" x14ac:dyDescent="0.2">
      <c r="D92" s="108">
        <f>D14+D16-D37</f>
        <v>1.9914135336875916E-3</v>
      </c>
      <c r="E92" s="108">
        <f t="shared" ref="E92:G92" si="7">E14+E16-E37</f>
        <v>2.6838574558496475E-3</v>
      </c>
      <c r="F92" s="108">
        <f t="shared" si="7"/>
        <v>-2.2685825824737549E-3</v>
      </c>
      <c r="G92" s="108">
        <f t="shared" si="7"/>
        <v>2.6838574558496475E-3</v>
      </c>
      <c r="H92" s="108">
        <f>H14+H16-H37</f>
        <v>-2.2685825824737549E-3</v>
      </c>
      <c r="I92" s="108">
        <f>I14+I16-I37</f>
        <v>2.6838574558496475E-3</v>
      </c>
      <c r="J92" s="108">
        <f>J14+J16-J37</f>
        <v>0</v>
      </c>
      <c r="K92" s="108">
        <f>K14+K16-K37</f>
        <v>0</v>
      </c>
    </row>
    <row r="93" spans="1:11" x14ac:dyDescent="0.2">
      <c r="D93" s="108"/>
    </row>
    <row r="94" spans="1:11" x14ac:dyDescent="0.2">
      <c r="D94">
        <v>357465</v>
      </c>
    </row>
    <row r="95" spans="1:11" x14ac:dyDescent="0.2">
      <c r="D95">
        <v>2125258.5099999998</v>
      </c>
      <c r="E95">
        <v>646334.22</v>
      </c>
    </row>
    <row r="96" spans="1:11" x14ac:dyDescent="0.2">
      <c r="D96">
        <f>D94+D95</f>
        <v>2482723.5099999998</v>
      </c>
    </row>
    <row r="97" spans="4:5" x14ac:dyDescent="0.2">
      <c r="D97" s="108">
        <f>D14-D96</f>
        <v>0</v>
      </c>
      <c r="E97" s="108">
        <f>E14-E95</f>
        <v>0</v>
      </c>
    </row>
  </sheetData>
  <mergeCells count="62">
    <mergeCell ref="D89:E89"/>
    <mergeCell ref="D90:E90"/>
    <mergeCell ref="D91:E91"/>
    <mergeCell ref="F87:G87"/>
    <mergeCell ref="F88:G88"/>
    <mergeCell ref="F89:G89"/>
    <mergeCell ref="F90:G90"/>
    <mergeCell ref="D86:E86"/>
    <mergeCell ref="F86:G86"/>
    <mergeCell ref="H86:I86"/>
    <mergeCell ref="D87:E87"/>
    <mergeCell ref="D88:E88"/>
    <mergeCell ref="J59:K59"/>
    <mergeCell ref="F91:G91"/>
    <mergeCell ref="H87:I87"/>
    <mergeCell ref="H88:I88"/>
    <mergeCell ref="J86:K86"/>
    <mergeCell ref="J87:K87"/>
    <mergeCell ref="J88:K88"/>
    <mergeCell ref="J89:K89"/>
    <mergeCell ref="J90:K90"/>
    <mergeCell ref="H89:I89"/>
    <mergeCell ref="H90:I90"/>
    <mergeCell ref="H91:I91"/>
    <mergeCell ref="J91:K91"/>
    <mergeCell ref="J60:K60"/>
    <mergeCell ref="J53:K53"/>
    <mergeCell ref="J39:K39"/>
    <mergeCell ref="J40:K40"/>
    <mergeCell ref="J42:K42"/>
    <mergeCell ref="J43:K43"/>
    <mergeCell ref="J44:K44"/>
    <mergeCell ref="J45:K45"/>
    <mergeCell ref="J46:K46"/>
    <mergeCell ref="J48:K48"/>
    <mergeCell ref="J49:K49"/>
    <mergeCell ref="J50:K50"/>
    <mergeCell ref="J51:K51"/>
    <mergeCell ref="J37:K37"/>
    <mergeCell ref="J38:K38"/>
    <mergeCell ref="F11:G11"/>
    <mergeCell ref="H11:I11"/>
    <mergeCell ref="J52:K52"/>
    <mergeCell ref="A2:K2"/>
    <mergeCell ref="A4:K4"/>
    <mergeCell ref="A5:K5"/>
    <mergeCell ref="A7:K7"/>
    <mergeCell ref="J36:K36"/>
    <mergeCell ref="A9:A12"/>
    <mergeCell ref="B9:B12"/>
    <mergeCell ref="C9:C12"/>
    <mergeCell ref="D9:K9"/>
    <mergeCell ref="D10:E10"/>
    <mergeCell ref="F10:G10"/>
    <mergeCell ref="H10:I10"/>
    <mergeCell ref="J10:K11"/>
    <mergeCell ref="D11:E11"/>
    <mergeCell ref="J54:K54"/>
    <mergeCell ref="J55:K55"/>
    <mergeCell ref="J56:K56"/>
    <mergeCell ref="J57:K57"/>
    <mergeCell ref="J58:K58"/>
  </mergeCells>
  <pageMargins left="0.39370078740157483" right="0.19685039370078741" top="0.39370078740157483" bottom="0.19685039370078741" header="0.31496062992125984" footer="0.31496062992125984"/>
  <pageSetup paperSize="9" scale="89" orientation="landscape" r:id="rId1"/>
  <rowBreaks count="3" manualBreakCount="3">
    <brk id="22" max="16383" man="1"/>
    <brk id="45" max="16383" man="1"/>
    <brk id="7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52"/>
  <sheetViews>
    <sheetView view="pageBreakPreview" topLeftCell="A16" zoomScaleSheetLayoutView="100" workbookViewId="0">
      <selection activeCell="N7" sqref="N7"/>
    </sheetView>
  </sheetViews>
  <sheetFormatPr defaultRowHeight="12.55" x14ac:dyDescent="0.2"/>
  <cols>
    <col min="1" max="1" width="7.44140625" customWidth="1"/>
    <col min="2" max="2" width="45.44140625" customWidth="1"/>
    <col min="3" max="3" width="7.44140625" customWidth="1"/>
    <col min="4" max="5" width="10.109375" customWidth="1"/>
    <col min="6" max="6" width="11.33203125" customWidth="1"/>
    <col min="7" max="7" width="14.44140625" customWidth="1"/>
    <col min="8" max="9" width="13.33203125" customWidth="1"/>
    <col min="10" max="10" width="11.6640625" customWidth="1"/>
    <col min="11" max="11" width="9.44140625" customWidth="1"/>
    <col min="12" max="13" width="9.5546875" customWidth="1"/>
  </cols>
  <sheetData>
    <row r="1" spans="1:10" ht="21" customHeight="1" x14ac:dyDescent="0.25">
      <c r="A1" s="259" t="s">
        <v>5</v>
      </c>
      <c r="B1" s="260"/>
      <c r="C1" s="260"/>
      <c r="D1" s="260"/>
      <c r="E1" s="260"/>
      <c r="F1" s="260"/>
      <c r="G1" s="260"/>
      <c r="H1" s="260"/>
      <c r="I1" s="260"/>
      <c r="J1" s="260"/>
    </row>
    <row r="2" spans="1:10" ht="13.15" x14ac:dyDescent="0.25">
      <c r="A2" s="261" t="s">
        <v>327</v>
      </c>
      <c r="B2" s="248" t="s">
        <v>10</v>
      </c>
      <c r="C2" s="248" t="s">
        <v>328</v>
      </c>
      <c r="D2" s="248" t="s">
        <v>329</v>
      </c>
      <c r="E2" s="267" t="s">
        <v>651</v>
      </c>
      <c r="F2" s="267" t="s">
        <v>652</v>
      </c>
      <c r="G2" s="262" t="s">
        <v>330</v>
      </c>
      <c r="H2" s="262"/>
      <c r="I2" s="262"/>
      <c r="J2" s="262"/>
    </row>
    <row r="3" spans="1:10" ht="16.45" customHeight="1" x14ac:dyDescent="0.2">
      <c r="A3" s="261"/>
      <c r="B3" s="248"/>
      <c r="C3" s="248"/>
      <c r="D3" s="248"/>
      <c r="E3" s="268"/>
      <c r="F3" s="268"/>
      <c r="G3" s="3" t="s">
        <v>9</v>
      </c>
      <c r="H3" s="3" t="s">
        <v>571</v>
      </c>
      <c r="I3" s="3" t="s">
        <v>630</v>
      </c>
      <c r="J3" s="245" t="s">
        <v>14</v>
      </c>
    </row>
    <row r="4" spans="1:10" ht="76.55" customHeight="1" x14ac:dyDescent="0.2">
      <c r="A4" s="261"/>
      <c r="B4" s="248"/>
      <c r="C4" s="248"/>
      <c r="D4" s="248"/>
      <c r="E4" s="269"/>
      <c r="F4" s="269"/>
      <c r="G4" s="37" t="s">
        <v>82</v>
      </c>
      <c r="H4" s="37" t="s">
        <v>83</v>
      </c>
      <c r="I4" s="37" t="s">
        <v>84</v>
      </c>
      <c r="J4" s="245"/>
    </row>
    <row r="5" spans="1:10" ht="13.15" x14ac:dyDescent="0.2">
      <c r="A5" s="3" t="s">
        <v>19</v>
      </c>
      <c r="B5" s="13" t="s">
        <v>20</v>
      </c>
      <c r="C5" s="13" t="s">
        <v>21</v>
      </c>
      <c r="D5" s="3" t="s">
        <v>22</v>
      </c>
      <c r="E5" s="165" t="s">
        <v>653</v>
      </c>
      <c r="F5" s="165" t="s">
        <v>654</v>
      </c>
      <c r="G5" s="3" t="s">
        <v>23</v>
      </c>
      <c r="H5" s="3" t="s">
        <v>24</v>
      </c>
      <c r="I5" s="3" t="s">
        <v>25</v>
      </c>
      <c r="J5" s="3" t="s">
        <v>26</v>
      </c>
    </row>
    <row r="6" spans="1:10" ht="18.8" customHeight="1" x14ac:dyDescent="0.2">
      <c r="A6" s="3" t="s">
        <v>19</v>
      </c>
      <c r="B6" s="20" t="s">
        <v>331</v>
      </c>
      <c r="C6" s="13" t="s">
        <v>332</v>
      </c>
      <c r="D6" s="9" t="s">
        <v>1</v>
      </c>
      <c r="E6" s="167"/>
      <c r="F6" s="167"/>
      <c r="G6" s="96">
        <f>SUM(G7:G14)</f>
        <v>19252002.068299998</v>
      </c>
      <c r="H6" s="96">
        <f t="shared" ref="H6:I6" si="0">SUM(H7:H14)</f>
        <v>14228456.998299999</v>
      </c>
      <c r="I6" s="96">
        <f t="shared" si="0"/>
        <v>14228456.998299999</v>
      </c>
      <c r="J6" s="96">
        <v>0</v>
      </c>
    </row>
    <row r="7" spans="1:10" ht="129.80000000000001" customHeight="1" x14ac:dyDescent="0.2">
      <c r="A7" s="9" t="s">
        <v>333</v>
      </c>
      <c r="B7" s="20" t="s">
        <v>334</v>
      </c>
      <c r="C7" s="13" t="s">
        <v>335</v>
      </c>
      <c r="D7" s="9" t="s">
        <v>1</v>
      </c>
      <c r="E7" s="167"/>
      <c r="F7" s="167"/>
      <c r="G7" s="96">
        <v>0</v>
      </c>
      <c r="H7" s="96">
        <v>0</v>
      </c>
      <c r="I7" s="96">
        <v>0</v>
      </c>
      <c r="J7" s="96">
        <v>0</v>
      </c>
    </row>
    <row r="8" spans="1:10" ht="52.45" customHeight="1" x14ac:dyDescent="0.2">
      <c r="A8" s="3" t="s">
        <v>336</v>
      </c>
      <c r="B8" s="20" t="s">
        <v>2</v>
      </c>
      <c r="C8" s="13" t="s">
        <v>337</v>
      </c>
      <c r="D8" s="9" t="s">
        <v>1</v>
      </c>
      <c r="E8" s="167"/>
      <c r="F8" s="167"/>
      <c r="G8" s="96">
        <v>0</v>
      </c>
      <c r="H8" s="96">
        <v>0</v>
      </c>
      <c r="I8" s="96">
        <v>0</v>
      </c>
      <c r="J8" s="96">
        <v>0</v>
      </c>
    </row>
    <row r="9" spans="1:10" ht="50.25" customHeight="1" x14ac:dyDescent="0.2">
      <c r="A9" s="9" t="s">
        <v>338</v>
      </c>
      <c r="B9" s="20" t="s">
        <v>339</v>
      </c>
      <c r="C9" s="3" t="s">
        <v>340</v>
      </c>
      <c r="D9" s="9" t="s">
        <v>1</v>
      </c>
      <c r="E9" s="167"/>
      <c r="F9" s="167"/>
      <c r="G9" s="96">
        <f>'3.13(244)'!C10+'3.13(244)(5)'!C10</f>
        <v>576633.54</v>
      </c>
      <c r="H9" s="96">
        <v>0</v>
      </c>
      <c r="I9" s="96">
        <v>0</v>
      </c>
      <c r="J9" s="96">
        <v>0</v>
      </c>
    </row>
    <row r="10" spans="1:10" ht="26.3" customHeight="1" x14ac:dyDescent="0.2">
      <c r="A10" s="129" t="s">
        <v>598</v>
      </c>
      <c r="B10" s="130" t="s">
        <v>599</v>
      </c>
      <c r="C10" s="126">
        <v>26310</v>
      </c>
      <c r="D10" s="135" t="s">
        <v>1</v>
      </c>
      <c r="E10" s="167"/>
      <c r="F10" s="167"/>
      <c r="G10" s="125">
        <v>0</v>
      </c>
      <c r="H10" s="125">
        <v>0</v>
      </c>
      <c r="I10" s="125">
        <v>0</v>
      </c>
      <c r="J10" s="125">
        <v>0</v>
      </c>
    </row>
    <row r="11" spans="1:10" ht="15.85" customHeight="1" x14ac:dyDescent="0.2">
      <c r="A11" s="129"/>
      <c r="B11" s="130" t="s">
        <v>655</v>
      </c>
      <c r="C11" s="126" t="s">
        <v>600</v>
      </c>
      <c r="D11" s="135"/>
      <c r="E11" s="167"/>
      <c r="F11" s="167"/>
      <c r="G11" s="125">
        <v>0</v>
      </c>
      <c r="H11" s="125">
        <v>0</v>
      </c>
      <c r="I11" s="125">
        <v>0</v>
      </c>
      <c r="J11" s="125">
        <v>0</v>
      </c>
    </row>
    <row r="12" spans="1:10" ht="15.85" customHeight="1" x14ac:dyDescent="0.2">
      <c r="A12" s="129"/>
      <c r="B12" s="130" t="s">
        <v>657</v>
      </c>
      <c r="C12" s="165" t="s">
        <v>656</v>
      </c>
      <c r="D12" s="167"/>
      <c r="E12" s="167"/>
      <c r="F12" s="167"/>
      <c r="G12" s="164"/>
      <c r="H12" s="164"/>
      <c r="I12" s="164"/>
      <c r="J12" s="164"/>
    </row>
    <row r="13" spans="1:10" ht="14.25" customHeight="1" x14ac:dyDescent="0.2">
      <c r="A13" s="129" t="s">
        <v>601</v>
      </c>
      <c r="B13" s="130" t="s">
        <v>351</v>
      </c>
      <c r="C13" s="126">
        <v>26320</v>
      </c>
      <c r="D13" s="135" t="s">
        <v>1</v>
      </c>
      <c r="E13" s="167"/>
      <c r="F13" s="167"/>
      <c r="G13" s="125">
        <v>0</v>
      </c>
      <c r="H13" s="125">
        <v>0</v>
      </c>
      <c r="I13" s="125">
        <v>0</v>
      </c>
      <c r="J13" s="125">
        <v>0</v>
      </c>
    </row>
    <row r="14" spans="1:10" ht="52.45" customHeight="1" x14ac:dyDescent="0.2">
      <c r="A14" s="9" t="s">
        <v>341</v>
      </c>
      <c r="B14" s="20" t="s">
        <v>342</v>
      </c>
      <c r="C14" s="3" t="s">
        <v>343</v>
      </c>
      <c r="D14" s="9" t="s">
        <v>1</v>
      </c>
      <c r="E14" s="167"/>
      <c r="F14" s="167"/>
      <c r="G14" s="96">
        <f>G15+G25+G18</f>
        <v>18675368.528299998</v>
      </c>
      <c r="H14" s="134">
        <f>H15+H25+H18</f>
        <v>14228456.998299999</v>
      </c>
      <c r="I14" s="134">
        <f>I15+I25+I18</f>
        <v>14228456.998299999</v>
      </c>
      <c r="J14" s="96">
        <v>0</v>
      </c>
    </row>
    <row r="15" spans="1:10" ht="39.799999999999997" customHeight="1" x14ac:dyDescent="0.2">
      <c r="A15" s="9" t="s">
        <v>344</v>
      </c>
      <c r="B15" s="20" t="s">
        <v>345</v>
      </c>
      <c r="C15" s="3" t="s">
        <v>346</v>
      </c>
      <c r="D15" s="9" t="s">
        <v>1</v>
      </c>
      <c r="E15" s="167"/>
      <c r="F15" s="167"/>
      <c r="G15" s="96">
        <f>G17</f>
        <v>13984888.8313</v>
      </c>
      <c r="H15" s="96">
        <f t="shared" ref="H15:I15" si="1">H17</f>
        <v>10470905.0013</v>
      </c>
      <c r="I15" s="96">
        <f t="shared" si="1"/>
        <v>10470905.0013</v>
      </c>
      <c r="J15" s="96">
        <v>0</v>
      </c>
    </row>
    <row r="16" spans="1:10" ht="27.1" customHeight="1" x14ac:dyDescent="0.2">
      <c r="A16" s="3" t="s">
        <v>347</v>
      </c>
      <c r="B16" s="20" t="s">
        <v>348</v>
      </c>
      <c r="C16" s="3" t="s">
        <v>349</v>
      </c>
      <c r="D16" s="9" t="s">
        <v>1</v>
      </c>
      <c r="E16" s="167"/>
      <c r="F16" s="167"/>
      <c r="G16" s="96">
        <v>0</v>
      </c>
      <c r="H16" s="96">
        <v>0</v>
      </c>
      <c r="I16" s="96">
        <v>0</v>
      </c>
      <c r="J16" s="96">
        <v>0</v>
      </c>
    </row>
    <row r="17" spans="1:10" ht="16.45" customHeight="1" x14ac:dyDescent="0.2">
      <c r="A17" s="3" t="s">
        <v>350</v>
      </c>
      <c r="B17" s="20" t="s">
        <v>351</v>
      </c>
      <c r="C17" s="3" t="s">
        <v>352</v>
      </c>
      <c r="D17" s="9" t="s">
        <v>1</v>
      </c>
      <c r="E17" s="167"/>
      <c r="F17" s="167"/>
      <c r="G17" s="96">
        <f>'3.13(244)'!C12-'3.13(244)'!C10</f>
        <v>13984888.8313</v>
      </c>
      <c r="H17" s="96">
        <f>'3.13(244)'!D12</f>
        <v>10470905.0013</v>
      </c>
      <c r="I17" s="96">
        <f>'3.13(244)'!E12</f>
        <v>10470905.0013</v>
      </c>
      <c r="J17" s="96">
        <v>0</v>
      </c>
    </row>
    <row r="18" spans="1:10" ht="39" customHeight="1" x14ac:dyDescent="0.2">
      <c r="A18" s="3" t="s">
        <v>353</v>
      </c>
      <c r="B18" s="20" t="s">
        <v>354</v>
      </c>
      <c r="C18" s="3" t="s">
        <v>355</v>
      </c>
      <c r="D18" s="9" t="s">
        <v>1</v>
      </c>
      <c r="E18" s="167"/>
      <c r="F18" s="167"/>
      <c r="G18" s="96">
        <f>G21</f>
        <v>311593.48</v>
      </c>
      <c r="H18" s="96">
        <f>H19</f>
        <v>0</v>
      </c>
      <c r="I18" s="96">
        <f>I19</f>
        <v>0</v>
      </c>
      <c r="J18" s="96">
        <v>0</v>
      </c>
    </row>
    <row r="19" spans="1:10" ht="26.3" customHeight="1" x14ac:dyDescent="0.2">
      <c r="A19" s="9" t="s">
        <v>356</v>
      </c>
      <c r="B19" s="20" t="s">
        <v>348</v>
      </c>
      <c r="C19" s="3" t="s">
        <v>357</v>
      </c>
      <c r="D19" s="9" t="s">
        <v>1</v>
      </c>
      <c r="E19" s="167"/>
      <c r="F19" s="167"/>
      <c r="G19" s="96">
        <v>0</v>
      </c>
      <c r="H19" s="96">
        <v>0</v>
      </c>
      <c r="I19" s="96">
        <v>0</v>
      </c>
      <c r="J19" s="96">
        <v>0</v>
      </c>
    </row>
    <row r="20" spans="1:10" ht="14.25" customHeight="1" x14ac:dyDescent="0.2">
      <c r="A20" s="167"/>
      <c r="B20" s="20" t="s">
        <v>658</v>
      </c>
      <c r="C20" s="165" t="s">
        <v>602</v>
      </c>
      <c r="D20" s="167" t="s">
        <v>1</v>
      </c>
      <c r="E20" s="167"/>
      <c r="F20" s="167"/>
      <c r="G20" s="164"/>
      <c r="H20" s="164"/>
      <c r="I20" s="164"/>
      <c r="J20" s="164"/>
    </row>
    <row r="21" spans="1:10" ht="15.85" customHeight="1" x14ac:dyDescent="0.2">
      <c r="A21" s="9" t="s">
        <v>358</v>
      </c>
      <c r="B21" s="20" t="s">
        <v>351</v>
      </c>
      <c r="C21" s="3" t="s">
        <v>359</v>
      </c>
      <c r="D21" s="9" t="s">
        <v>1</v>
      </c>
      <c r="E21" s="167"/>
      <c r="F21" s="167"/>
      <c r="G21" s="96">
        <f>'3.13(244)(5)'!C12-'3.13(244)(5)'!C10</f>
        <v>311593.48</v>
      </c>
      <c r="H21" s="96">
        <v>0</v>
      </c>
      <c r="I21" s="96">
        <v>0</v>
      </c>
      <c r="J21" s="96">
        <v>0</v>
      </c>
    </row>
    <row r="22" spans="1:10" ht="27.7" customHeight="1" x14ac:dyDescent="0.2">
      <c r="A22" s="9" t="s">
        <v>360</v>
      </c>
      <c r="B22" s="20" t="s">
        <v>361</v>
      </c>
      <c r="C22" s="3" t="s">
        <v>362</v>
      </c>
      <c r="D22" s="9" t="s">
        <v>1</v>
      </c>
      <c r="E22" s="167"/>
      <c r="F22" s="167"/>
      <c r="G22" s="96">
        <v>0</v>
      </c>
      <c r="H22" s="96">
        <v>0</v>
      </c>
      <c r="I22" s="96">
        <v>0</v>
      </c>
      <c r="J22" s="96">
        <v>0</v>
      </c>
    </row>
    <row r="23" spans="1:10" ht="15.85" customHeight="1" x14ac:dyDescent="0.2">
      <c r="A23" s="127"/>
      <c r="B23" s="130" t="s">
        <v>658</v>
      </c>
      <c r="C23" s="126" t="s">
        <v>603</v>
      </c>
      <c r="D23" s="127" t="s">
        <v>1</v>
      </c>
      <c r="E23" s="167"/>
      <c r="F23" s="167"/>
      <c r="G23" s="125">
        <v>0</v>
      </c>
      <c r="H23" s="125">
        <v>0</v>
      </c>
      <c r="I23" s="125">
        <v>0</v>
      </c>
      <c r="J23" s="125">
        <v>0</v>
      </c>
    </row>
    <row r="24" spans="1:10" ht="15.85" customHeight="1" x14ac:dyDescent="0.2">
      <c r="A24" s="167"/>
      <c r="B24" s="130" t="s">
        <v>660</v>
      </c>
      <c r="C24" s="165" t="s">
        <v>659</v>
      </c>
      <c r="D24" s="167"/>
      <c r="E24" s="167"/>
      <c r="F24" s="167"/>
      <c r="G24" s="164"/>
      <c r="H24" s="164"/>
      <c r="I24" s="164"/>
      <c r="J24" s="164"/>
    </row>
    <row r="25" spans="1:10" ht="12.7" customHeight="1" x14ac:dyDescent="0.2">
      <c r="A25" s="9" t="s">
        <v>363</v>
      </c>
      <c r="B25" s="20" t="s">
        <v>364</v>
      </c>
      <c r="C25" s="3" t="s">
        <v>365</v>
      </c>
      <c r="D25" s="9" t="s">
        <v>1</v>
      </c>
      <c r="E25" s="167"/>
      <c r="F25" s="167"/>
      <c r="G25" s="96">
        <f>G29</f>
        <v>4378886.2170000002</v>
      </c>
      <c r="H25" s="96">
        <f t="shared" ref="H25" si="2">H29</f>
        <v>3757551.997</v>
      </c>
      <c r="I25" s="96">
        <f>'3.13(244)(2)'!E11</f>
        <v>3757551.997</v>
      </c>
      <c r="J25" s="96">
        <v>0</v>
      </c>
    </row>
    <row r="26" spans="1:10" ht="26.3" customHeight="1" x14ac:dyDescent="0.2">
      <c r="A26" s="9" t="s">
        <v>366</v>
      </c>
      <c r="B26" s="20" t="s">
        <v>348</v>
      </c>
      <c r="C26" s="3" t="s">
        <v>367</v>
      </c>
      <c r="D26" s="9" t="s">
        <v>1</v>
      </c>
      <c r="E26" s="167"/>
      <c r="F26" s="167"/>
      <c r="G26" s="96">
        <v>0</v>
      </c>
      <c r="H26" s="96">
        <v>0</v>
      </c>
      <c r="I26" s="96">
        <v>0</v>
      </c>
      <c r="J26" s="96">
        <v>0</v>
      </c>
    </row>
    <row r="27" spans="1:10" ht="15.05" customHeight="1" x14ac:dyDescent="0.2">
      <c r="A27" s="127"/>
      <c r="B27" s="130" t="s">
        <v>658</v>
      </c>
      <c r="C27" s="126" t="s">
        <v>604</v>
      </c>
      <c r="D27" s="127" t="s">
        <v>1</v>
      </c>
      <c r="E27" s="167"/>
      <c r="F27" s="167"/>
      <c r="G27" s="125">
        <v>0</v>
      </c>
      <c r="H27" s="125">
        <v>0</v>
      </c>
      <c r="I27" s="125">
        <v>0</v>
      </c>
      <c r="J27" s="125">
        <v>0</v>
      </c>
    </row>
    <row r="28" spans="1:10" ht="15.05" customHeight="1" x14ac:dyDescent="0.2">
      <c r="A28" s="167"/>
      <c r="B28" s="130" t="s">
        <v>660</v>
      </c>
      <c r="C28" s="165" t="s">
        <v>661</v>
      </c>
      <c r="D28" s="167" t="s">
        <v>1</v>
      </c>
      <c r="E28" s="167"/>
      <c r="F28" s="167"/>
      <c r="G28" s="164"/>
      <c r="H28" s="164"/>
      <c r="I28" s="164"/>
      <c r="J28" s="164"/>
    </row>
    <row r="29" spans="1:10" ht="14.25" customHeight="1" x14ac:dyDescent="0.2">
      <c r="A29" s="9" t="s">
        <v>368</v>
      </c>
      <c r="B29" s="20" t="s">
        <v>351</v>
      </c>
      <c r="C29" s="3" t="s">
        <v>369</v>
      </c>
      <c r="D29" s="9" t="s">
        <v>1</v>
      </c>
      <c r="E29" s="167"/>
      <c r="F29" s="167"/>
      <c r="G29" s="96">
        <f>'3.13(244)(2)'!C11</f>
        <v>4378886.2170000002</v>
      </c>
      <c r="H29" s="96">
        <f>'3.13(244)(2)'!D11</f>
        <v>3757551.997</v>
      </c>
      <c r="I29" s="96">
        <v>5856546</v>
      </c>
      <c r="J29" s="96">
        <v>0</v>
      </c>
    </row>
    <row r="30" spans="1:10" ht="51.05" customHeight="1" x14ac:dyDescent="0.2">
      <c r="A30" s="9" t="s">
        <v>370</v>
      </c>
      <c r="B30" s="20" t="s">
        <v>371</v>
      </c>
      <c r="C30" s="3" t="s">
        <v>372</v>
      </c>
      <c r="D30" s="9" t="s">
        <v>1</v>
      </c>
      <c r="E30" s="167"/>
      <c r="F30" s="167"/>
      <c r="G30" s="96">
        <v>0</v>
      </c>
      <c r="H30" s="96">
        <v>0</v>
      </c>
      <c r="I30" s="96">
        <v>0</v>
      </c>
      <c r="J30" s="96">
        <v>0</v>
      </c>
    </row>
    <row r="31" spans="1:10" ht="14.25" customHeight="1" x14ac:dyDescent="0.2">
      <c r="A31" s="33"/>
      <c r="B31" s="34" t="s">
        <v>373</v>
      </c>
      <c r="C31" s="3" t="s">
        <v>374</v>
      </c>
      <c r="D31" s="35"/>
      <c r="E31" s="35"/>
      <c r="F31" s="35"/>
      <c r="G31" s="96">
        <v>0</v>
      </c>
      <c r="H31" s="96">
        <v>0</v>
      </c>
      <c r="I31" s="96">
        <v>0</v>
      </c>
      <c r="J31" s="96">
        <v>0</v>
      </c>
    </row>
    <row r="32" spans="1:10" ht="51.05" customHeight="1" x14ac:dyDescent="0.2">
      <c r="A32" s="9" t="s">
        <v>375</v>
      </c>
      <c r="B32" s="20" t="s">
        <v>376</v>
      </c>
      <c r="C32" s="3" t="s">
        <v>377</v>
      </c>
      <c r="D32" s="9" t="s">
        <v>1</v>
      </c>
      <c r="E32" s="167"/>
      <c r="F32" s="167"/>
      <c r="G32" s="96">
        <f>G33</f>
        <v>18675368.528299998</v>
      </c>
      <c r="H32" s="96">
        <f t="shared" ref="H32:I32" si="3">H33</f>
        <v>14228456.998299999</v>
      </c>
      <c r="I32" s="96">
        <f t="shared" si="3"/>
        <v>14228456.998299999</v>
      </c>
      <c r="J32" s="96">
        <v>0</v>
      </c>
    </row>
    <row r="33" spans="1:10" ht="16.45" customHeight="1" x14ac:dyDescent="0.2">
      <c r="A33" s="33"/>
      <c r="B33" s="34" t="s">
        <v>373</v>
      </c>
      <c r="C33" s="3" t="s">
        <v>378</v>
      </c>
      <c r="D33" s="35"/>
      <c r="E33" s="35"/>
      <c r="F33" s="35"/>
      <c r="G33" s="96">
        <f>G14</f>
        <v>18675368.528299998</v>
      </c>
      <c r="H33" s="96">
        <f t="shared" ref="H33:I33" si="4">H14</f>
        <v>14228456.998299999</v>
      </c>
      <c r="I33" s="96">
        <f t="shared" si="4"/>
        <v>14228456.998299999</v>
      </c>
      <c r="J33" s="96">
        <v>0</v>
      </c>
    </row>
    <row r="34" spans="1:10" ht="45.1" customHeight="1" x14ac:dyDescent="0.2">
      <c r="A34" s="266" t="s">
        <v>605</v>
      </c>
      <c r="B34" s="266"/>
      <c r="C34" s="266"/>
      <c r="D34" s="266"/>
      <c r="E34" s="266"/>
      <c r="F34" s="266"/>
      <c r="G34" s="266"/>
      <c r="H34" s="266"/>
      <c r="I34" s="266"/>
      <c r="J34" s="266"/>
    </row>
    <row r="35" spans="1:10" ht="13.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ht="13.15" x14ac:dyDescent="0.2">
      <c r="A36" s="21" t="s">
        <v>711</v>
      </c>
      <c r="B36" s="21"/>
      <c r="C36" s="21"/>
      <c r="D36" s="21"/>
      <c r="E36" s="36"/>
      <c r="F36" s="36"/>
      <c r="G36" s="21"/>
      <c r="H36" s="21"/>
      <c r="I36" s="21"/>
      <c r="J36" s="21"/>
    </row>
    <row r="37" spans="1:10" ht="13.15" x14ac:dyDescent="0.25">
      <c r="A37" s="21" t="s">
        <v>566</v>
      </c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13.15" x14ac:dyDescent="0.25">
      <c r="A38" s="21" t="s">
        <v>77</v>
      </c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13.1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ht="13.15" x14ac:dyDescent="0.2">
      <c r="A40" s="22" t="s">
        <v>569</v>
      </c>
      <c r="B40" s="22"/>
      <c r="C40" s="22"/>
      <c r="D40" s="22"/>
      <c r="E40" s="66"/>
      <c r="F40" s="66"/>
      <c r="G40" s="22"/>
      <c r="H40" s="22"/>
      <c r="I40" s="22"/>
      <c r="J40" s="22"/>
    </row>
    <row r="41" spans="1:10" ht="13.15" x14ac:dyDescent="0.2">
      <c r="A41" s="254" t="s">
        <v>567</v>
      </c>
      <c r="B41" s="254"/>
      <c r="C41" s="254"/>
      <c r="D41" s="254"/>
      <c r="E41" s="255"/>
      <c r="F41" s="255"/>
      <c r="G41" s="254"/>
      <c r="H41" s="254"/>
      <c r="I41" s="254"/>
      <c r="J41" s="254"/>
    </row>
    <row r="42" spans="1:10" ht="13.15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3.15" x14ac:dyDescent="0.25">
      <c r="A43" s="21" t="s">
        <v>664</v>
      </c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3.8" thickBot="1" x14ac:dyDescent="0.3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ht="13.15" x14ac:dyDescent="0.25">
      <c r="A45" s="24" t="s">
        <v>78</v>
      </c>
      <c r="B45" s="25"/>
      <c r="C45" s="25"/>
      <c r="D45" s="26"/>
      <c r="E45" s="27"/>
      <c r="F45" s="27"/>
      <c r="G45" s="23"/>
      <c r="H45" s="23"/>
      <c r="I45" s="23"/>
      <c r="J45" s="23"/>
    </row>
    <row r="46" spans="1:10" ht="13.15" x14ac:dyDescent="0.25">
      <c r="A46" s="263" t="s">
        <v>622</v>
      </c>
      <c r="B46" s="264"/>
      <c r="C46" s="264"/>
      <c r="D46" s="265"/>
      <c r="E46" s="166"/>
      <c r="F46" s="166"/>
      <c r="G46" s="23"/>
      <c r="H46" s="23"/>
      <c r="I46" s="23"/>
      <c r="J46" s="23"/>
    </row>
    <row r="47" spans="1:10" ht="13.15" x14ac:dyDescent="0.25">
      <c r="A47" s="93" t="s">
        <v>606</v>
      </c>
      <c r="B47" s="27"/>
      <c r="C47" s="27"/>
      <c r="D47" s="28"/>
      <c r="E47" s="27"/>
      <c r="F47" s="27"/>
      <c r="G47" s="23"/>
      <c r="H47" s="23"/>
      <c r="I47" s="23"/>
      <c r="J47" s="23"/>
    </row>
    <row r="48" spans="1:10" ht="18" customHeight="1" x14ac:dyDescent="0.25">
      <c r="A48" s="256" t="s">
        <v>712</v>
      </c>
      <c r="B48" s="257"/>
      <c r="C48" s="257"/>
      <c r="D48" s="258"/>
      <c r="E48" s="166"/>
      <c r="F48" s="166"/>
      <c r="G48" s="23"/>
      <c r="H48" s="23"/>
      <c r="I48" s="23"/>
      <c r="J48" s="23"/>
    </row>
    <row r="49" spans="1:10" ht="13.15" x14ac:dyDescent="0.25">
      <c r="A49" s="93" t="s">
        <v>568</v>
      </c>
      <c r="B49" s="94"/>
      <c r="C49" s="27"/>
      <c r="D49" s="28"/>
      <c r="E49" s="27"/>
      <c r="F49" s="27"/>
      <c r="G49" s="23"/>
      <c r="H49" s="23"/>
      <c r="I49" s="23"/>
      <c r="J49" s="23"/>
    </row>
    <row r="50" spans="1:10" ht="21.8" customHeight="1" thickBot="1" x14ac:dyDescent="0.3">
      <c r="A50" s="29" t="s">
        <v>665</v>
      </c>
      <c r="B50" s="30"/>
      <c r="C50" s="30"/>
      <c r="D50" s="31"/>
      <c r="E50" s="27"/>
      <c r="F50" s="27"/>
      <c r="G50" s="23"/>
      <c r="H50" s="23"/>
      <c r="I50" s="23"/>
      <c r="J50" s="23"/>
    </row>
    <row r="51" spans="1:10" ht="13.1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ht="13.15" x14ac:dyDescent="0.25">
      <c r="A52" s="36"/>
      <c r="B52" s="23"/>
      <c r="C52" s="23"/>
      <c r="D52" s="23"/>
      <c r="E52" s="23"/>
      <c r="F52" s="23"/>
      <c r="G52" s="23"/>
      <c r="H52" s="23"/>
      <c r="I52" s="23"/>
      <c r="J52" s="23"/>
    </row>
  </sheetData>
  <mergeCells count="13">
    <mergeCell ref="A41:J41"/>
    <mergeCell ref="A48:D48"/>
    <mergeCell ref="A1:J1"/>
    <mergeCell ref="A2:A4"/>
    <mergeCell ref="B2:B4"/>
    <mergeCell ref="C2:C4"/>
    <mergeCell ref="D2:D4"/>
    <mergeCell ref="G2:J2"/>
    <mergeCell ref="J3:J4"/>
    <mergeCell ref="A46:D46"/>
    <mergeCell ref="A34:J34"/>
    <mergeCell ref="E2:E4"/>
    <mergeCell ref="F2:F4"/>
  </mergeCells>
  <phoneticPr fontId="15" type="noConversion"/>
  <pageMargins left="0.39370078740157483" right="0.19685039370078741" top="0.39370078740157483" bottom="0.19685039370078741" header="0.31496062992125984" footer="0.31496062992125984"/>
  <pageSetup paperSize="9" orientation="landscape" r:id="rId1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157"/>
  <sheetViews>
    <sheetView view="pageBreakPreview" topLeftCell="A136" zoomScaleSheetLayoutView="100" workbookViewId="0">
      <selection activeCell="D76" sqref="D76:E77"/>
    </sheetView>
  </sheetViews>
  <sheetFormatPr defaultRowHeight="12.55" x14ac:dyDescent="0.2"/>
  <cols>
    <col min="1" max="1" width="36.44140625" customWidth="1"/>
    <col min="2" max="2" width="7.5546875" customWidth="1"/>
    <col min="3" max="3" width="13.88671875" customWidth="1"/>
    <col min="4" max="4" width="14.109375" customWidth="1"/>
    <col min="5" max="5" width="14.33203125" customWidth="1"/>
    <col min="6" max="6" width="11.5546875" customWidth="1"/>
    <col min="7" max="7" width="10.44140625" customWidth="1"/>
    <col min="8" max="8" width="9.5546875" customWidth="1"/>
    <col min="9" max="9" width="12.88671875" customWidth="1"/>
    <col min="10" max="10" width="14.5546875" customWidth="1"/>
    <col min="11" max="11" width="13.6640625" customWidth="1"/>
    <col min="12" max="12" width="1.88671875" customWidth="1"/>
  </cols>
  <sheetData>
    <row r="1" spans="1:14" ht="21" customHeight="1" x14ac:dyDescent="0.25">
      <c r="A1" s="259" t="s">
        <v>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3"/>
      <c r="N1" s="23"/>
    </row>
    <row r="2" spans="1:14" ht="13.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0.2" customHeight="1" x14ac:dyDescent="0.25">
      <c r="A3" s="273" t="s">
        <v>79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3"/>
      <c r="N3" s="23"/>
    </row>
    <row r="4" spans="1:14" ht="13.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9.600000000000001" customHeight="1" x14ac:dyDescent="0.25">
      <c r="A5" s="273" t="s">
        <v>80</v>
      </c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3"/>
      <c r="N5" s="23"/>
    </row>
    <row r="6" spans="1:14" ht="13.15" hidden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3.15" hidden="1" x14ac:dyDescent="0.25">
      <c r="A7" s="247" t="s">
        <v>10</v>
      </c>
      <c r="B7" s="248" t="s">
        <v>11</v>
      </c>
      <c r="C7" s="262" t="s">
        <v>81</v>
      </c>
      <c r="D7" s="262"/>
      <c r="E7" s="262"/>
      <c r="F7" s="23"/>
      <c r="G7" s="23"/>
      <c r="H7" s="23"/>
      <c r="I7" s="23"/>
      <c r="J7" s="23"/>
      <c r="K7" s="23"/>
      <c r="L7" s="23"/>
      <c r="M7" s="23"/>
      <c r="N7" s="23"/>
    </row>
    <row r="8" spans="1:14" ht="13.15" hidden="1" x14ac:dyDescent="0.25">
      <c r="A8" s="247"/>
      <c r="B8" s="248"/>
      <c r="C8" s="3" t="s">
        <v>7</v>
      </c>
      <c r="D8" s="3" t="s">
        <v>247</v>
      </c>
      <c r="E8" s="3" t="s">
        <v>9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48.7" hidden="1" customHeight="1" x14ac:dyDescent="0.25">
      <c r="A9" s="247"/>
      <c r="B9" s="248"/>
      <c r="C9" s="13" t="s">
        <v>82</v>
      </c>
      <c r="D9" s="13" t="s">
        <v>83</v>
      </c>
      <c r="E9" s="13" t="s">
        <v>84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13.15" hidden="1" x14ac:dyDescent="0.25">
      <c r="A10" s="3" t="s">
        <v>19</v>
      </c>
      <c r="B10" s="3" t="s">
        <v>20</v>
      </c>
      <c r="C10" s="3" t="s">
        <v>21</v>
      </c>
      <c r="D10" s="3" t="s">
        <v>22</v>
      </c>
      <c r="E10" s="3" t="s">
        <v>23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30.05" hidden="1" customHeight="1" x14ac:dyDescent="0.25">
      <c r="A11" s="15" t="s">
        <v>85</v>
      </c>
      <c r="B11" s="38" t="s">
        <v>86</v>
      </c>
      <c r="C11" s="32"/>
      <c r="D11" s="32"/>
      <c r="E11" s="3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54.8" hidden="1" customHeight="1" x14ac:dyDescent="0.25">
      <c r="A12" s="15" t="s">
        <v>87</v>
      </c>
      <c r="B12" s="3" t="s">
        <v>88</v>
      </c>
      <c r="C12" s="32"/>
      <c r="D12" s="32"/>
      <c r="E12" s="33"/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6.45" hidden="1" customHeight="1" x14ac:dyDescent="0.25">
      <c r="A13" s="15" t="s">
        <v>89</v>
      </c>
      <c r="B13" s="38" t="s">
        <v>90</v>
      </c>
      <c r="C13" s="32"/>
      <c r="D13" s="32"/>
      <c r="E13" s="3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53.25" hidden="1" customHeight="1" x14ac:dyDescent="0.25">
      <c r="A14" s="15" t="s">
        <v>39</v>
      </c>
      <c r="B14" s="9" t="s">
        <v>91</v>
      </c>
      <c r="C14" s="32"/>
      <c r="D14" s="32"/>
      <c r="E14" s="33"/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27.1" hidden="1" customHeight="1" x14ac:dyDescent="0.25">
      <c r="A15" s="15" t="s">
        <v>92</v>
      </c>
      <c r="B15" s="3" t="s">
        <v>93</v>
      </c>
      <c r="C15" s="4"/>
      <c r="D15" s="4"/>
      <c r="E15" s="4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39.799999999999997" hidden="1" customHeight="1" x14ac:dyDescent="0.25">
      <c r="A16" s="15" t="s">
        <v>41</v>
      </c>
      <c r="B16" s="3" t="s">
        <v>94</v>
      </c>
      <c r="C16" s="4"/>
      <c r="D16" s="4"/>
      <c r="E16" s="4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42.75" hidden="1" customHeight="1" x14ac:dyDescent="0.25">
      <c r="A17" s="15" t="s">
        <v>95</v>
      </c>
      <c r="B17" s="3" t="s">
        <v>96</v>
      </c>
      <c r="C17" s="4"/>
      <c r="D17" s="4"/>
      <c r="E17" s="4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27.7" hidden="1" customHeight="1" x14ac:dyDescent="0.25">
      <c r="A18" s="15" t="s">
        <v>97</v>
      </c>
      <c r="B18" s="3" t="s">
        <v>98</v>
      </c>
      <c r="C18" s="4"/>
      <c r="D18" s="4"/>
      <c r="E18" s="4"/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8.5" hidden="1" customHeight="1" x14ac:dyDescent="0.25">
      <c r="A19" s="15" t="s">
        <v>99</v>
      </c>
      <c r="B19" s="38" t="s">
        <v>100</v>
      </c>
      <c r="C19" s="4"/>
      <c r="D19" s="4"/>
      <c r="E19" s="4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66.05" hidden="1" customHeight="1" x14ac:dyDescent="0.25">
      <c r="A20" s="15" t="s">
        <v>101</v>
      </c>
      <c r="B20" s="9" t="s">
        <v>102</v>
      </c>
      <c r="C20" s="4"/>
      <c r="D20" s="4"/>
      <c r="E20" s="4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43.55" hidden="1" customHeight="1" x14ac:dyDescent="0.25">
      <c r="A21" s="15" t="s">
        <v>103</v>
      </c>
      <c r="B21" s="3" t="s">
        <v>104</v>
      </c>
      <c r="C21" s="4"/>
      <c r="D21" s="4"/>
      <c r="E21" s="4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41.35" hidden="1" customHeight="1" x14ac:dyDescent="0.25">
      <c r="A22" s="15" t="s">
        <v>105</v>
      </c>
      <c r="B22" s="9" t="s">
        <v>106</v>
      </c>
      <c r="C22" s="4"/>
      <c r="D22" s="4"/>
      <c r="E22" s="4"/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30.7" hidden="1" customHeight="1" x14ac:dyDescent="0.25">
      <c r="A23" s="15" t="s">
        <v>107</v>
      </c>
      <c r="B23" s="38" t="s">
        <v>108</v>
      </c>
      <c r="C23" s="4"/>
      <c r="D23" s="4"/>
      <c r="E23" s="4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52.6" hidden="1" x14ac:dyDescent="0.25">
      <c r="A24" s="15" t="s">
        <v>109</v>
      </c>
      <c r="B24" s="3" t="s">
        <v>110</v>
      </c>
      <c r="C24" s="4"/>
      <c r="D24" s="4"/>
      <c r="E24" s="4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39.450000000000003" hidden="1" x14ac:dyDescent="0.25">
      <c r="A25" s="15" t="s">
        <v>111</v>
      </c>
      <c r="B25" s="3" t="s">
        <v>112</v>
      </c>
      <c r="C25" s="4"/>
      <c r="D25" s="4"/>
      <c r="E25" s="4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3.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8" customHeight="1" x14ac:dyDescent="0.25">
      <c r="A27" s="270" t="s">
        <v>113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3"/>
      <c r="M27" s="23"/>
      <c r="N27" s="23"/>
    </row>
    <row r="28" spans="1:14" ht="13.15" hidden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47.3" hidden="1" customHeight="1" x14ac:dyDescent="0.25">
      <c r="A29" s="245" t="s">
        <v>114</v>
      </c>
      <c r="B29" s="248" t="s">
        <v>11</v>
      </c>
      <c r="C29" s="248" t="s">
        <v>115</v>
      </c>
      <c r="D29" s="248"/>
      <c r="E29" s="248"/>
      <c r="F29" s="245" t="s">
        <v>116</v>
      </c>
      <c r="G29" s="245"/>
      <c r="H29" s="245"/>
      <c r="I29" s="248" t="s">
        <v>117</v>
      </c>
      <c r="J29" s="248"/>
      <c r="K29" s="248"/>
      <c r="L29" s="23"/>
      <c r="M29" s="23"/>
      <c r="N29" s="23"/>
    </row>
    <row r="30" spans="1:14" ht="13.15" hidden="1" x14ac:dyDescent="0.25">
      <c r="A30" s="245"/>
      <c r="B30" s="248"/>
      <c r="C30" s="3" t="s">
        <v>7</v>
      </c>
      <c r="D30" s="3" t="s">
        <v>8</v>
      </c>
      <c r="E30" s="3" t="s">
        <v>9</v>
      </c>
      <c r="F30" s="3" t="s">
        <v>7</v>
      </c>
      <c r="G30" s="3" t="s">
        <v>8</v>
      </c>
      <c r="H30" s="3" t="s">
        <v>9</v>
      </c>
      <c r="I30" s="3" t="s">
        <v>7</v>
      </c>
      <c r="J30" s="3" t="s">
        <v>8</v>
      </c>
      <c r="K30" s="3" t="s">
        <v>9</v>
      </c>
      <c r="L30" s="23"/>
      <c r="M30" s="23"/>
      <c r="N30" s="23"/>
    </row>
    <row r="31" spans="1:14" ht="54" hidden="1" customHeight="1" x14ac:dyDescent="0.25">
      <c r="A31" s="245"/>
      <c r="B31" s="248"/>
      <c r="C31" s="37" t="s">
        <v>82</v>
      </c>
      <c r="D31" s="37" t="s">
        <v>83</v>
      </c>
      <c r="E31" s="37" t="s">
        <v>84</v>
      </c>
      <c r="F31" s="37" t="s">
        <v>82</v>
      </c>
      <c r="G31" s="37" t="s">
        <v>83</v>
      </c>
      <c r="H31" s="37" t="s">
        <v>84</v>
      </c>
      <c r="I31" s="37" t="s">
        <v>82</v>
      </c>
      <c r="J31" s="37" t="s">
        <v>83</v>
      </c>
      <c r="K31" s="37" t="s">
        <v>84</v>
      </c>
      <c r="L31" s="23"/>
      <c r="M31" s="23"/>
      <c r="N31" s="23"/>
    </row>
    <row r="32" spans="1:14" ht="13.15" hidden="1" x14ac:dyDescent="0.25">
      <c r="A32" s="3" t="s">
        <v>19</v>
      </c>
      <c r="B32" s="3" t="s">
        <v>20</v>
      </c>
      <c r="C32" s="3" t="s">
        <v>21</v>
      </c>
      <c r="D32" s="3" t="s">
        <v>22</v>
      </c>
      <c r="E32" s="3" t="s">
        <v>23</v>
      </c>
      <c r="F32" s="3" t="s">
        <v>24</v>
      </c>
      <c r="G32" s="3" t="s">
        <v>25</v>
      </c>
      <c r="H32" s="3" t="s">
        <v>26</v>
      </c>
      <c r="I32" s="3" t="s">
        <v>27</v>
      </c>
      <c r="J32" s="3" t="s">
        <v>28</v>
      </c>
      <c r="K32" s="3" t="s">
        <v>29</v>
      </c>
      <c r="L32" s="23"/>
      <c r="M32" s="23"/>
      <c r="N32" s="23"/>
    </row>
    <row r="33" spans="1:14" ht="14.25" hidden="1" customHeight="1" x14ac:dyDescent="0.25">
      <c r="A33" s="15" t="s">
        <v>118</v>
      </c>
      <c r="B33" s="9" t="s">
        <v>86</v>
      </c>
      <c r="C33" s="9" t="s">
        <v>1</v>
      </c>
      <c r="D33" s="9" t="s">
        <v>1</v>
      </c>
      <c r="E33" s="9" t="s">
        <v>1</v>
      </c>
      <c r="F33" s="9" t="s">
        <v>1</v>
      </c>
      <c r="G33" s="9" t="s">
        <v>1</v>
      </c>
      <c r="H33" s="9" t="s">
        <v>1</v>
      </c>
      <c r="I33" s="4"/>
      <c r="J33" s="4"/>
      <c r="K33" s="4"/>
      <c r="L33" s="23"/>
      <c r="M33" s="23"/>
      <c r="N33" s="23"/>
    </row>
    <row r="34" spans="1:14" ht="13.15" hidden="1" x14ac:dyDescent="0.25">
      <c r="A34" s="4" t="s">
        <v>119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23"/>
      <c r="M34" s="23"/>
      <c r="N34" s="23"/>
    </row>
    <row r="35" spans="1:14" ht="15.85" hidden="1" customHeight="1" x14ac:dyDescent="0.25">
      <c r="A35" s="15" t="s">
        <v>120</v>
      </c>
      <c r="B35" s="9" t="s">
        <v>88</v>
      </c>
      <c r="C35" s="9" t="s">
        <v>1</v>
      </c>
      <c r="D35" s="9" t="s">
        <v>1</v>
      </c>
      <c r="E35" s="9" t="s">
        <v>1</v>
      </c>
      <c r="F35" s="9" t="s">
        <v>1</v>
      </c>
      <c r="G35" s="9" t="s">
        <v>1</v>
      </c>
      <c r="H35" s="9" t="s">
        <v>1</v>
      </c>
      <c r="I35" s="4"/>
      <c r="J35" s="4"/>
      <c r="K35" s="4"/>
      <c r="L35" s="23"/>
      <c r="M35" s="23"/>
      <c r="N35" s="23"/>
    </row>
    <row r="36" spans="1:14" ht="16.45" hidden="1" customHeight="1" x14ac:dyDescent="0.25">
      <c r="A36" s="2" t="s">
        <v>119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23"/>
      <c r="M36" s="23"/>
      <c r="N36" s="23"/>
    </row>
    <row r="37" spans="1:14" ht="13.15" hidden="1" x14ac:dyDescent="0.25">
      <c r="A37" s="2" t="s">
        <v>121</v>
      </c>
      <c r="B37" s="3" t="s">
        <v>122</v>
      </c>
      <c r="C37" s="3" t="s">
        <v>1</v>
      </c>
      <c r="D37" s="3" t="s">
        <v>1</v>
      </c>
      <c r="E37" s="3" t="s">
        <v>1</v>
      </c>
      <c r="F37" s="3" t="s">
        <v>1</v>
      </c>
      <c r="G37" s="3" t="s">
        <v>1</v>
      </c>
      <c r="H37" s="3" t="s">
        <v>1</v>
      </c>
      <c r="I37" s="4"/>
      <c r="J37" s="4"/>
      <c r="K37" s="4"/>
      <c r="L37" s="23"/>
      <c r="M37" s="23"/>
      <c r="N37" s="23"/>
    </row>
    <row r="38" spans="1:14" ht="13.15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ht="13.15" x14ac:dyDescent="0.25">
      <c r="A39" s="39" t="s">
        <v>123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13.15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ht="13.15" x14ac:dyDescent="0.25">
      <c r="A41" s="272" t="s">
        <v>248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3"/>
      <c r="M41" s="23"/>
      <c r="N41" s="23"/>
    </row>
    <row r="42" spans="1:14" ht="13.15" hidden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29.3" hidden="1" customHeight="1" x14ac:dyDescent="0.25">
      <c r="A43" s="248" t="s">
        <v>10</v>
      </c>
      <c r="B43" s="248" t="s">
        <v>11</v>
      </c>
      <c r="C43" s="248" t="s">
        <v>124</v>
      </c>
      <c r="D43" s="248"/>
      <c r="E43" s="248"/>
      <c r="F43" s="261" t="s">
        <v>127</v>
      </c>
      <c r="G43" s="261"/>
      <c r="H43" s="261"/>
      <c r="I43" s="248" t="s">
        <v>125</v>
      </c>
      <c r="J43" s="248"/>
      <c r="K43" s="248"/>
      <c r="L43" s="23"/>
      <c r="M43" s="23"/>
      <c r="N43" s="23"/>
    </row>
    <row r="44" spans="1:14" ht="13.5" hidden="1" customHeight="1" x14ac:dyDescent="0.25">
      <c r="A44" s="248"/>
      <c r="B44" s="248"/>
      <c r="C44" s="3" t="s">
        <v>7</v>
      </c>
      <c r="D44" s="3" t="s">
        <v>8</v>
      </c>
      <c r="E44" s="3" t="s">
        <v>9</v>
      </c>
      <c r="F44" s="3" t="s">
        <v>7</v>
      </c>
      <c r="G44" s="3" t="s">
        <v>8</v>
      </c>
      <c r="H44" s="3" t="s">
        <v>9</v>
      </c>
      <c r="I44" s="3" t="s">
        <v>7</v>
      </c>
      <c r="J44" s="3" t="s">
        <v>8</v>
      </c>
      <c r="K44" s="3" t="s">
        <v>9</v>
      </c>
      <c r="L44" s="23"/>
      <c r="M44" s="23"/>
      <c r="N44" s="23"/>
    </row>
    <row r="45" spans="1:14" ht="39.450000000000003" hidden="1" x14ac:dyDescent="0.25">
      <c r="A45" s="248"/>
      <c r="B45" s="248"/>
      <c r="C45" s="37" t="s">
        <v>82</v>
      </c>
      <c r="D45" s="37" t="s">
        <v>83</v>
      </c>
      <c r="E45" s="37" t="s">
        <v>84</v>
      </c>
      <c r="F45" s="37" t="s">
        <v>82</v>
      </c>
      <c r="G45" s="37" t="s">
        <v>83</v>
      </c>
      <c r="H45" s="37" t="s">
        <v>84</v>
      </c>
      <c r="I45" s="37" t="s">
        <v>82</v>
      </c>
      <c r="J45" s="37" t="s">
        <v>83</v>
      </c>
      <c r="K45" s="37" t="s">
        <v>84</v>
      </c>
      <c r="L45" s="23"/>
      <c r="M45" s="23"/>
      <c r="N45" s="23"/>
    </row>
    <row r="46" spans="1:14" ht="13.15" hidden="1" x14ac:dyDescent="0.25">
      <c r="A46" s="3" t="s">
        <v>19</v>
      </c>
      <c r="B46" s="3" t="s">
        <v>20</v>
      </c>
      <c r="C46" s="3" t="s">
        <v>21</v>
      </c>
      <c r="D46" s="3" t="s">
        <v>22</v>
      </c>
      <c r="E46" s="3" t="s">
        <v>23</v>
      </c>
      <c r="F46" s="3" t="s">
        <v>24</v>
      </c>
      <c r="G46" s="3" t="s">
        <v>25</v>
      </c>
      <c r="H46" s="3" t="s">
        <v>26</v>
      </c>
      <c r="I46" s="3" t="s">
        <v>27</v>
      </c>
      <c r="J46" s="3" t="s">
        <v>28</v>
      </c>
      <c r="K46" s="3" t="s">
        <v>29</v>
      </c>
      <c r="L46" s="23"/>
      <c r="M46" s="23"/>
      <c r="N46" s="23"/>
    </row>
    <row r="47" spans="1:14" ht="13.15" hidden="1" x14ac:dyDescent="0.25">
      <c r="A47" s="4"/>
      <c r="B47" s="38" t="s">
        <v>31</v>
      </c>
      <c r="C47" s="4"/>
      <c r="D47" s="4"/>
      <c r="E47" s="4"/>
      <c r="F47" s="4"/>
      <c r="G47" s="4"/>
      <c r="H47" s="4"/>
      <c r="I47" s="4"/>
      <c r="J47" s="4"/>
      <c r="K47" s="4"/>
      <c r="L47" s="23"/>
      <c r="M47" s="23"/>
      <c r="N47" s="23"/>
    </row>
    <row r="48" spans="1:14" ht="13.15" hidden="1" x14ac:dyDescent="0.25">
      <c r="A48" s="38" t="s">
        <v>121</v>
      </c>
      <c r="B48" s="38" t="s">
        <v>122</v>
      </c>
      <c r="C48" s="9" t="s">
        <v>1</v>
      </c>
      <c r="D48" s="9" t="s">
        <v>1</v>
      </c>
      <c r="E48" s="9" t="s">
        <v>1</v>
      </c>
      <c r="F48" s="9" t="s">
        <v>1</v>
      </c>
      <c r="G48" s="9" t="s">
        <v>1</v>
      </c>
      <c r="H48" s="9" t="s">
        <v>1</v>
      </c>
      <c r="I48" s="4"/>
      <c r="J48" s="4"/>
      <c r="K48" s="4"/>
      <c r="L48" s="23"/>
      <c r="M48" s="23"/>
      <c r="N48" s="23"/>
    </row>
    <row r="49" spans="1:14" ht="13.15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3.15" x14ac:dyDescent="0.25">
      <c r="A50" s="272" t="s">
        <v>249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3"/>
      <c r="M50" s="23"/>
      <c r="N50" s="23"/>
    </row>
    <row r="51" spans="1:14" ht="13.15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</row>
    <row r="52" spans="1:14" ht="15.05" customHeight="1" x14ac:dyDescent="0.25">
      <c r="A52" s="272" t="s">
        <v>250</v>
      </c>
      <c r="B52" s="272"/>
      <c r="C52" s="272"/>
      <c r="D52" s="272"/>
      <c r="E52" s="272"/>
      <c r="F52" s="272"/>
      <c r="G52" s="272"/>
      <c r="H52" s="272"/>
      <c r="I52" s="272"/>
      <c r="J52" s="272"/>
      <c r="K52" s="272"/>
      <c r="L52" s="23"/>
      <c r="M52" s="23"/>
      <c r="N52" s="23"/>
    </row>
    <row r="53" spans="1:14" ht="13.15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3.15" x14ac:dyDescent="0.25">
      <c r="A54" s="274" t="s">
        <v>10</v>
      </c>
      <c r="B54" s="248" t="s">
        <v>11</v>
      </c>
      <c r="C54" s="262" t="s">
        <v>81</v>
      </c>
      <c r="D54" s="262"/>
      <c r="E54" s="262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3.15" x14ac:dyDescent="0.25">
      <c r="A55" s="274"/>
      <c r="B55" s="248"/>
      <c r="C55" s="3" t="s">
        <v>9</v>
      </c>
      <c r="D55" s="3" t="s">
        <v>571</v>
      </c>
      <c r="E55" s="3" t="s">
        <v>630</v>
      </c>
      <c r="F55" s="23"/>
      <c r="G55" s="23"/>
      <c r="H55" s="23"/>
      <c r="I55" s="23"/>
      <c r="J55" s="23"/>
      <c r="K55" s="23"/>
      <c r="L55" s="23"/>
      <c r="M55" s="23"/>
      <c r="N55" s="23"/>
    </row>
    <row r="56" spans="1:14" ht="39.799999999999997" customHeight="1" x14ac:dyDescent="0.25">
      <c r="A56" s="274"/>
      <c r="B56" s="248"/>
      <c r="C56" s="37" t="s">
        <v>82</v>
      </c>
      <c r="D56" s="37" t="s">
        <v>83</v>
      </c>
      <c r="E56" s="37" t="s">
        <v>84</v>
      </c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13.15" x14ac:dyDescent="0.25">
      <c r="A57" s="3" t="s">
        <v>19</v>
      </c>
      <c r="B57" s="3" t="s">
        <v>20</v>
      </c>
      <c r="C57" s="3" t="s">
        <v>21</v>
      </c>
      <c r="D57" s="3" t="s">
        <v>22</v>
      </c>
      <c r="E57" s="3" t="s">
        <v>23</v>
      </c>
      <c r="F57" s="23"/>
      <c r="G57" s="23"/>
      <c r="H57" s="23"/>
      <c r="I57" s="23"/>
      <c r="J57" s="23"/>
      <c r="K57" s="23"/>
      <c r="L57" s="23"/>
      <c r="M57" s="23"/>
      <c r="N57" s="23"/>
    </row>
    <row r="58" spans="1:14" ht="30.7" customHeight="1" x14ac:dyDescent="0.25">
      <c r="A58" s="15" t="s">
        <v>85</v>
      </c>
      <c r="B58" s="95" t="s">
        <v>86</v>
      </c>
      <c r="C58" s="16">
        <v>0</v>
      </c>
      <c r="D58" s="16">
        <v>0</v>
      </c>
      <c r="E58" s="16">
        <v>0</v>
      </c>
      <c r="F58" s="23"/>
      <c r="G58" s="23"/>
      <c r="H58" s="23"/>
      <c r="I58" s="23"/>
      <c r="J58" s="23"/>
      <c r="K58" s="23"/>
      <c r="L58" s="23"/>
      <c r="M58" s="23"/>
      <c r="N58" s="23"/>
    </row>
    <row r="59" spans="1:14" ht="55.6" customHeight="1" x14ac:dyDescent="0.25">
      <c r="A59" s="15" t="s">
        <v>87</v>
      </c>
      <c r="B59" s="95" t="s">
        <v>88</v>
      </c>
      <c r="C59" s="16">
        <v>0</v>
      </c>
      <c r="D59" s="16">
        <v>0</v>
      </c>
      <c r="E59" s="16">
        <v>0</v>
      </c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27.1" customHeight="1" x14ac:dyDescent="0.25">
      <c r="A60" s="15" t="s">
        <v>128</v>
      </c>
      <c r="B60" s="95" t="s">
        <v>90</v>
      </c>
      <c r="C60" s="16">
        <f>SUM(C61:C62)</f>
        <v>39213890.999920003</v>
      </c>
      <c r="D60" s="16">
        <f t="shared" ref="D60:E60" si="0">SUM(D61:D62)</f>
        <v>32591082.000459999</v>
      </c>
      <c r="E60" s="16">
        <f t="shared" si="0"/>
        <v>32591082.000459999</v>
      </c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39" customHeight="1" x14ac:dyDescent="0.25">
      <c r="A61" s="15" t="s">
        <v>47</v>
      </c>
      <c r="B61" s="95" t="s">
        <v>91</v>
      </c>
      <c r="C61" s="16">
        <f>I78</f>
        <v>26513890.999920003</v>
      </c>
      <c r="D61" s="16">
        <f>J78</f>
        <v>19891082.000459999</v>
      </c>
      <c r="E61" s="97">
        <f>K78</f>
        <v>19891082.000459999</v>
      </c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40.549999999999997" customHeight="1" x14ac:dyDescent="0.25">
      <c r="A62" s="15" t="s">
        <v>129</v>
      </c>
      <c r="B62" s="95" t="s">
        <v>93</v>
      </c>
      <c r="C62" s="16">
        <v>12700000</v>
      </c>
      <c r="D62" s="174">
        <v>12700000</v>
      </c>
      <c r="E62" s="174">
        <v>12700000</v>
      </c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65.3" customHeight="1" x14ac:dyDescent="0.25">
      <c r="A63" s="17" t="s">
        <v>251</v>
      </c>
      <c r="B63" s="8" t="s">
        <v>94</v>
      </c>
      <c r="C63" s="42">
        <v>0</v>
      </c>
      <c r="D63" s="42">
        <v>0</v>
      </c>
      <c r="E63" s="42">
        <v>0</v>
      </c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52.45" customHeight="1" x14ac:dyDescent="0.25">
      <c r="A64" s="15" t="s">
        <v>52</v>
      </c>
      <c r="B64" s="95" t="s">
        <v>96</v>
      </c>
      <c r="C64" s="16">
        <v>0</v>
      </c>
      <c r="D64" s="16">
        <v>0</v>
      </c>
      <c r="E64" s="16">
        <v>0</v>
      </c>
      <c r="F64" s="23"/>
      <c r="G64" s="23"/>
      <c r="H64" s="23"/>
      <c r="I64" s="23"/>
      <c r="J64" s="23"/>
      <c r="K64" s="23"/>
      <c r="L64" s="23"/>
      <c r="M64" s="23"/>
      <c r="N64" s="23"/>
    </row>
    <row r="65" spans="1:14" ht="27.7" customHeight="1" x14ac:dyDescent="0.25">
      <c r="A65" s="15" t="s">
        <v>107</v>
      </c>
      <c r="B65" s="95" t="s">
        <v>108</v>
      </c>
      <c r="C65" s="16">
        <v>0</v>
      </c>
      <c r="D65" s="16">
        <v>0</v>
      </c>
      <c r="E65" s="16">
        <v>0</v>
      </c>
      <c r="F65" s="23"/>
      <c r="G65" s="23"/>
      <c r="H65" s="23"/>
      <c r="I65" s="23"/>
      <c r="J65" s="23"/>
      <c r="K65" s="23"/>
      <c r="L65" s="23"/>
      <c r="M65" s="23"/>
      <c r="N65" s="23"/>
    </row>
    <row r="66" spans="1:14" ht="52.45" customHeight="1" x14ac:dyDescent="0.25">
      <c r="A66" s="15" t="s">
        <v>109</v>
      </c>
      <c r="B66" s="95" t="s">
        <v>110</v>
      </c>
      <c r="C66" s="16">
        <v>0</v>
      </c>
      <c r="D66" s="16">
        <v>0</v>
      </c>
      <c r="E66" s="16">
        <v>0</v>
      </c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55.6" customHeight="1" x14ac:dyDescent="0.25">
      <c r="A67" s="15" t="s">
        <v>130</v>
      </c>
      <c r="B67" s="95" t="s">
        <v>112</v>
      </c>
      <c r="C67" s="43">
        <f>C60</f>
        <v>39213890.999920003</v>
      </c>
      <c r="D67" s="43">
        <f t="shared" ref="D67:E67" si="1">D60</f>
        <v>32591082.000459999</v>
      </c>
      <c r="E67" s="43">
        <f t="shared" si="1"/>
        <v>32591082.000459999</v>
      </c>
      <c r="F67" s="23"/>
      <c r="G67" s="23"/>
      <c r="H67" s="23"/>
      <c r="I67" s="23"/>
      <c r="J67" s="23"/>
      <c r="K67" s="23"/>
      <c r="L67" s="23"/>
      <c r="M67" s="23"/>
      <c r="N67" s="23"/>
    </row>
    <row r="68" spans="1:14" ht="13.15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4" ht="13.15" x14ac:dyDescent="0.25">
      <c r="A69" s="39" t="s">
        <v>131</v>
      </c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0" spans="1:14" ht="13.1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27.7" customHeight="1" x14ac:dyDescent="0.25">
      <c r="A71" s="245" t="s">
        <v>10</v>
      </c>
      <c r="B71" s="248" t="s">
        <v>11</v>
      </c>
      <c r="C71" s="248" t="s">
        <v>132</v>
      </c>
      <c r="D71" s="248"/>
      <c r="E71" s="248"/>
      <c r="F71" s="248" t="s">
        <v>133</v>
      </c>
      <c r="G71" s="248"/>
      <c r="H71" s="248"/>
      <c r="I71" s="248" t="s">
        <v>134</v>
      </c>
      <c r="J71" s="248"/>
      <c r="K71" s="248"/>
      <c r="L71" s="23"/>
      <c r="M71" s="23"/>
      <c r="N71" s="23"/>
    </row>
    <row r="72" spans="1:14" ht="15.85" customHeight="1" x14ac:dyDescent="0.25">
      <c r="A72" s="245"/>
      <c r="B72" s="248"/>
      <c r="C72" s="142" t="s">
        <v>9</v>
      </c>
      <c r="D72" s="142" t="s">
        <v>571</v>
      </c>
      <c r="E72" s="142" t="s">
        <v>630</v>
      </c>
      <c r="F72" s="142" t="s">
        <v>9</v>
      </c>
      <c r="G72" s="142" t="s">
        <v>571</v>
      </c>
      <c r="H72" s="142" t="s">
        <v>630</v>
      </c>
      <c r="I72" s="142" t="s">
        <v>9</v>
      </c>
      <c r="J72" s="142" t="s">
        <v>571</v>
      </c>
      <c r="K72" s="142" t="s">
        <v>630</v>
      </c>
      <c r="L72" s="23"/>
      <c r="M72" s="23"/>
      <c r="N72" s="23"/>
    </row>
    <row r="73" spans="1:14" ht="51.85" customHeight="1" x14ac:dyDescent="0.25">
      <c r="A73" s="245"/>
      <c r="B73" s="248"/>
      <c r="C73" s="37" t="s">
        <v>126</v>
      </c>
      <c r="D73" s="37" t="s">
        <v>83</v>
      </c>
      <c r="E73" s="37" t="s">
        <v>84</v>
      </c>
      <c r="F73" s="37" t="s">
        <v>82</v>
      </c>
      <c r="G73" s="37" t="s">
        <v>83</v>
      </c>
      <c r="H73" s="37" t="s">
        <v>84</v>
      </c>
      <c r="I73" s="37" t="s">
        <v>82</v>
      </c>
      <c r="J73" s="37" t="s">
        <v>83</v>
      </c>
      <c r="K73" s="37" t="s">
        <v>84</v>
      </c>
      <c r="L73" s="23"/>
      <c r="M73" s="23"/>
      <c r="N73" s="23"/>
    </row>
    <row r="74" spans="1:14" ht="13.15" x14ac:dyDescent="0.25">
      <c r="A74" s="3" t="s">
        <v>19</v>
      </c>
      <c r="B74" s="3" t="s">
        <v>20</v>
      </c>
      <c r="C74" s="3" t="s">
        <v>21</v>
      </c>
      <c r="D74" s="3" t="s">
        <v>22</v>
      </c>
      <c r="E74" s="3" t="s">
        <v>23</v>
      </c>
      <c r="F74" s="3" t="s">
        <v>24</v>
      </c>
      <c r="G74" s="3" t="s">
        <v>25</v>
      </c>
      <c r="H74" s="3" t="s">
        <v>26</v>
      </c>
      <c r="I74" s="3" t="s">
        <v>27</v>
      </c>
      <c r="J74" s="3" t="s">
        <v>28</v>
      </c>
      <c r="K74" s="3" t="s">
        <v>29</v>
      </c>
      <c r="L74" s="23"/>
      <c r="M74" s="23"/>
      <c r="N74" s="23"/>
    </row>
    <row r="75" spans="1:14" ht="41.35" customHeight="1" x14ac:dyDescent="0.25">
      <c r="A75" s="15" t="s">
        <v>666</v>
      </c>
      <c r="B75" s="38" t="s">
        <v>31</v>
      </c>
      <c r="C75" s="52">
        <v>79.251440000000002</v>
      </c>
      <c r="D75" s="52">
        <f>J75/G75</f>
        <v>54.525258620689655</v>
      </c>
      <c r="E75" s="52">
        <f>K75/H75</f>
        <v>54.525258620689655</v>
      </c>
      <c r="F75" s="12">
        <v>116000</v>
      </c>
      <c r="G75" s="175">
        <v>116000</v>
      </c>
      <c r="H75" s="175">
        <v>116000</v>
      </c>
      <c r="I75" s="19">
        <f>C75*F75-0.04</f>
        <v>9193167.0000000019</v>
      </c>
      <c r="J75" s="174">
        <f>9037350-2712420</f>
        <v>6324930</v>
      </c>
      <c r="K75" s="174">
        <f>9037350-2712420</f>
        <v>6324930</v>
      </c>
      <c r="L75" s="23"/>
      <c r="M75" s="23"/>
      <c r="N75" s="107"/>
    </row>
    <row r="76" spans="1:14" ht="41.35" customHeight="1" x14ac:dyDescent="0.25">
      <c r="A76" s="15" t="s">
        <v>667</v>
      </c>
      <c r="B76" s="38" t="s">
        <v>33</v>
      </c>
      <c r="C76" s="52">
        <v>284009.02857000002</v>
      </c>
      <c r="D76" s="52">
        <v>210830.16667000001</v>
      </c>
      <c r="E76" s="52">
        <v>210830.16667000001</v>
      </c>
      <c r="F76" s="53">
        <f>30+5</f>
        <v>35</v>
      </c>
      <c r="G76" s="53">
        <v>30</v>
      </c>
      <c r="H76" s="53">
        <v>30</v>
      </c>
      <c r="I76" s="19">
        <f>C76*F76</f>
        <v>9940315.999950001</v>
      </c>
      <c r="J76" s="174">
        <f t="shared" ref="J76:K76" si="2">D76*G76</f>
        <v>6324905.0000999998</v>
      </c>
      <c r="K76" s="174">
        <f t="shared" si="2"/>
        <v>6324905.0000999998</v>
      </c>
      <c r="L76" s="23"/>
      <c r="M76" s="23"/>
      <c r="N76" s="107"/>
    </row>
    <row r="77" spans="1:14" ht="41.35" customHeight="1" x14ac:dyDescent="0.25">
      <c r="A77" s="15" t="s">
        <v>381</v>
      </c>
      <c r="B77" s="38" t="s">
        <v>380</v>
      </c>
      <c r="C77" s="52">
        <v>820045.33333000005</v>
      </c>
      <c r="D77" s="52">
        <v>804538.00003999996</v>
      </c>
      <c r="E77" s="52">
        <v>804538.00003999996</v>
      </c>
      <c r="F77" s="53">
        <v>9</v>
      </c>
      <c r="G77" s="53">
        <v>9</v>
      </c>
      <c r="H77" s="53">
        <v>9</v>
      </c>
      <c r="I77" s="19">
        <f>C77*F77</f>
        <v>7380407.9999700002</v>
      </c>
      <c r="J77" s="174">
        <f t="shared" ref="J77:K77" si="3">D77*G77+405</f>
        <v>7241247.0003599999</v>
      </c>
      <c r="K77" s="174">
        <f t="shared" si="3"/>
        <v>7241247.0003599999</v>
      </c>
      <c r="L77" s="23"/>
      <c r="M77" s="23"/>
      <c r="N77" s="107"/>
    </row>
    <row r="78" spans="1:14" ht="16.45" customHeight="1" x14ac:dyDescent="0.25">
      <c r="A78" s="3" t="s">
        <v>121</v>
      </c>
      <c r="B78" s="3">
        <v>1000</v>
      </c>
      <c r="C78" s="3">
        <v>0</v>
      </c>
      <c r="D78" s="3" t="s">
        <v>1</v>
      </c>
      <c r="E78" s="3" t="s">
        <v>1</v>
      </c>
      <c r="F78" s="3" t="s">
        <v>1</v>
      </c>
      <c r="G78" s="3" t="s">
        <v>1</v>
      </c>
      <c r="H78" s="3" t="s">
        <v>1</v>
      </c>
      <c r="I78" s="80">
        <f>SUM(I75:I77)</f>
        <v>26513890.999920003</v>
      </c>
      <c r="J78" s="43">
        <f>SUM(J75:J77)</f>
        <v>19891082.000459999</v>
      </c>
      <c r="K78" s="43">
        <f>SUM(K75:K77)</f>
        <v>19891082.000459999</v>
      </c>
      <c r="L78" s="23"/>
      <c r="M78" s="23"/>
      <c r="N78" s="23"/>
    </row>
    <row r="79" spans="1:14" ht="13.15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</row>
    <row r="80" spans="1:14" ht="16.45" customHeight="1" x14ac:dyDescent="0.25">
      <c r="A80" s="39" t="s">
        <v>135</v>
      </c>
      <c r="B80" s="23"/>
      <c r="C80" s="23"/>
      <c r="D80" s="23"/>
      <c r="E80" s="23"/>
      <c r="F80" s="23"/>
      <c r="G80" s="23"/>
      <c r="H80" s="23"/>
      <c r="I80" s="107"/>
      <c r="J80" s="107"/>
      <c r="K80" s="107"/>
      <c r="L80" s="23"/>
      <c r="M80" s="23"/>
      <c r="N80" s="23"/>
    </row>
    <row r="81" spans="1:14" ht="13.15" hidden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ht="30.7" hidden="1" customHeight="1" x14ac:dyDescent="0.25">
      <c r="A82" s="245" t="s">
        <v>10</v>
      </c>
      <c r="B82" s="248" t="s">
        <v>11</v>
      </c>
      <c r="C82" s="248" t="s">
        <v>132</v>
      </c>
      <c r="D82" s="248"/>
      <c r="E82" s="248"/>
      <c r="F82" s="248" t="s">
        <v>133</v>
      </c>
      <c r="G82" s="248"/>
      <c r="H82" s="248"/>
      <c r="I82" s="248" t="s">
        <v>134</v>
      </c>
      <c r="J82" s="248"/>
      <c r="K82" s="248"/>
      <c r="L82" s="23"/>
      <c r="M82" s="23"/>
      <c r="N82" s="23"/>
    </row>
    <row r="83" spans="1:14" ht="16.45" hidden="1" customHeight="1" x14ac:dyDescent="0.25">
      <c r="A83" s="245"/>
      <c r="B83" s="248"/>
      <c r="C83" s="3" t="s">
        <v>7</v>
      </c>
      <c r="D83" s="3" t="s">
        <v>8</v>
      </c>
      <c r="E83" s="3" t="s">
        <v>9</v>
      </c>
      <c r="F83" s="3" t="s">
        <v>7</v>
      </c>
      <c r="G83" s="3" t="s">
        <v>8</v>
      </c>
      <c r="H83" s="3" t="s">
        <v>9</v>
      </c>
      <c r="I83" s="3" t="s">
        <v>7</v>
      </c>
      <c r="J83" s="3" t="s">
        <v>8</v>
      </c>
      <c r="K83" s="3" t="s">
        <v>9</v>
      </c>
      <c r="L83" s="23"/>
      <c r="M83" s="23"/>
      <c r="N83" s="23"/>
    </row>
    <row r="84" spans="1:14" ht="52.45" hidden="1" customHeight="1" x14ac:dyDescent="0.25">
      <c r="A84" s="245"/>
      <c r="B84" s="248"/>
      <c r="C84" s="37" t="s">
        <v>126</v>
      </c>
      <c r="D84" s="37" t="s">
        <v>83</v>
      </c>
      <c r="E84" s="37" t="s">
        <v>84</v>
      </c>
      <c r="F84" s="37" t="s">
        <v>82</v>
      </c>
      <c r="G84" s="37" t="s">
        <v>83</v>
      </c>
      <c r="H84" s="37" t="s">
        <v>84</v>
      </c>
      <c r="I84" s="37" t="s">
        <v>82</v>
      </c>
      <c r="J84" s="37" t="s">
        <v>83</v>
      </c>
      <c r="K84" s="37" t="s">
        <v>84</v>
      </c>
      <c r="L84" s="23"/>
      <c r="M84" s="23"/>
      <c r="N84" s="23"/>
    </row>
    <row r="85" spans="1:14" ht="13.15" hidden="1" x14ac:dyDescent="0.25">
      <c r="A85" s="3" t="s">
        <v>19</v>
      </c>
      <c r="B85" s="3" t="s">
        <v>20</v>
      </c>
      <c r="C85" s="3" t="s">
        <v>21</v>
      </c>
      <c r="D85" s="3" t="s">
        <v>22</v>
      </c>
      <c r="E85" s="3" t="s">
        <v>23</v>
      </c>
      <c r="F85" s="3" t="s">
        <v>24</v>
      </c>
      <c r="G85" s="3" t="s">
        <v>25</v>
      </c>
      <c r="H85" s="3" t="s">
        <v>26</v>
      </c>
      <c r="I85" s="3" t="s">
        <v>27</v>
      </c>
      <c r="J85" s="3" t="s">
        <v>28</v>
      </c>
      <c r="K85" s="3" t="s">
        <v>29</v>
      </c>
      <c r="L85" s="23"/>
      <c r="M85" s="23"/>
      <c r="N85" s="23"/>
    </row>
    <row r="86" spans="1:14" ht="13.15" hidden="1" x14ac:dyDescent="0.25">
      <c r="A86" s="4"/>
      <c r="B86" s="3" t="s">
        <v>31</v>
      </c>
      <c r="C86" s="4"/>
      <c r="D86" s="4"/>
      <c r="E86" s="4"/>
      <c r="F86" s="4"/>
      <c r="G86" s="4"/>
      <c r="H86" s="4"/>
      <c r="I86" s="4"/>
      <c r="J86" s="4"/>
      <c r="K86" s="4"/>
      <c r="L86" s="23"/>
      <c r="M86" s="23"/>
      <c r="N86" s="23"/>
    </row>
    <row r="87" spans="1:14" ht="13.15" hidden="1" x14ac:dyDescent="0.25">
      <c r="A87" s="4"/>
      <c r="B87" s="3" t="s">
        <v>33</v>
      </c>
      <c r="C87" s="4"/>
      <c r="D87" s="4"/>
      <c r="E87" s="4"/>
      <c r="F87" s="4"/>
      <c r="G87" s="4"/>
      <c r="H87" s="4"/>
      <c r="I87" s="4"/>
      <c r="J87" s="4"/>
      <c r="K87" s="4"/>
      <c r="L87" s="23"/>
      <c r="M87" s="23"/>
      <c r="N87" s="23"/>
    </row>
    <row r="88" spans="1:14" ht="13.15" hidden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23"/>
      <c r="M88" s="23"/>
      <c r="N88" s="23"/>
    </row>
    <row r="89" spans="1:14" ht="13.15" hidden="1" x14ac:dyDescent="0.25">
      <c r="A89" s="3" t="s">
        <v>121</v>
      </c>
      <c r="B89" s="3">
        <v>1000</v>
      </c>
      <c r="C89" s="3" t="s">
        <v>1</v>
      </c>
      <c r="D89" s="3" t="s">
        <v>1</v>
      </c>
      <c r="E89" s="3" t="s">
        <v>1</v>
      </c>
      <c r="F89" s="3" t="s">
        <v>1</v>
      </c>
      <c r="G89" s="3" t="s">
        <v>1</v>
      </c>
      <c r="H89" s="3" t="s">
        <v>1</v>
      </c>
      <c r="I89" s="4"/>
      <c r="J89" s="4"/>
      <c r="K89" s="4"/>
      <c r="L89" s="23"/>
      <c r="M89" s="23"/>
      <c r="N89" s="23"/>
    </row>
    <row r="90" spans="1:14" ht="13.15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</row>
    <row r="91" spans="1:14" ht="15.05" customHeight="1" x14ac:dyDescent="0.25">
      <c r="A91" s="273" t="s">
        <v>382</v>
      </c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3"/>
      <c r="M91" s="23"/>
      <c r="N91" s="23"/>
    </row>
    <row r="92" spans="1:14" ht="13.15" hidden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29.3" hidden="1" customHeight="1" x14ac:dyDescent="0.25">
      <c r="A93" s="245" t="s">
        <v>10</v>
      </c>
      <c r="B93" s="248" t="s">
        <v>11</v>
      </c>
      <c r="C93" s="248" t="s">
        <v>132</v>
      </c>
      <c r="D93" s="248"/>
      <c r="E93" s="248"/>
      <c r="F93" s="248" t="s">
        <v>133</v>
      </c>
      <c r="G93" s="248"/>
      <c r="H93" s="248"/>
      <c r="I93" s="248" t="s">
        <v>134</v>
      </c>
      <c r="J93" s="248"/>
      <c r="K93" s="248"/>
      <c r="L93" s="23"/>
      <c r="M93" s="23"/>
      <c r="N93" s="23"/>
    </row>
    <row r="94" spans="1:14" ht="13.15" hidden="1" x14ac:dyDescent="0.25">
      <c r="A94" s="245"/>
      <c r="B94" s="248"/>
      <c r="C94" s="3" t="s">
        <v>7</v>
      </c>
      <c r="D94" s="3" t="s">
        <v>8</v>
      </c>
      <c r="E94" s="3" t="s">
        <v>9</v>
      </c>
      <c r="F94" s="3" t="s">
        <v>7</v>
      </c>
      <c r="G94" s="3" t="s">
        <v>8</v>
      </c>
      <c r="H94" s="3" t="s">
        <v>9</v>
      </c>
      <c r="I94" s="3" t="s">
        <v>7</v>
      </c>
      <c r="J94" s="3" t="s">
        <v>8</v>
      </c>
      <c r="K94" s="3" t="s">
        <v>9</v>
      </c>
      <c r="L94" s="23"/>
      <c r="M94" s="23"/>
      <c r="N94" s="23"/>
    </row>
    <row r="95" spans="1:14" ht="54" hidden="1" customHeight="1" x14ac:dyDescent="0.25">
      <c r="A95" s="245"/>
      <c r="B95" s="248"/>
      <c r="C95" s="37" t="s">
        <v>82</v>
      </c>
      <c r="D95" s="37" t="s">
        <v>83</v>
      </c>
      <c r="E95" s="37" t="s">
        <v>84</v>
      </c>
      <c r="F95" s="37" t="s">
        <v>82</v>
      </c>
      <c r="G95" s="37" t="s">
        <v>83</v>
      </c>
      <c r="H95" s="37" t="s">
        <v>84</v>
      </c>
      <c r="I95" s="37" t="s">
        <v>82</v>
      </c>
      <c r="J95" s="37" t="s">
        <v>83</v>
      </c>
      <c r="K95" s="37" t="s">
        <v>84</v>
      </c>
      <c r="L95" s="23"/>
      <c r="M95" s="23"/>
      <c r="N95" s="23"/>
    </row>
    <row r="96" spans="1:14" ht="13.15" hidden="1" x14ac:dyDescent="0.25">
      <c r="A96" s="3" t="s">
        <v>19</v>
      </c>
      <c r="B96" s="3" t="s">
        <v>20</v>
      </c>
      <c r="C96" s="3" t="s">
        <v>21</v>
      </c>
      <c r="D96" s="3" t="s">
        <v>22</v>
      </c>
      <c r="E96" s="3" t="s">
        <v>23</v>
      </c>
      <c r="F96" s="3" t="s">
        <v>24</v>
      </c>
      <c r="G96" s="3" t="s">
        <v>25</v>
      </c>
      <c r="H96" s="3" t="s">
        <v>26</v>
      </c>
      <c r="I96" s="3" t="s">
        <v>27</v>
      </c>
      <c r="J96" s="3" t="s">
        <v>28</v>
      </c>
      <c r="K96" s="3" t="s">
        <v>29</v>
      </c>
      <c r="L96" s="23"/>
      <c r="M96" s="23"/>
      <c r="N96" s="23"/>
    </row>
    <row r="97" spans="1:14" ht="13.15" hidden="1" x14ac:dyDescent="0.25">
      <c r="A97" s="4"/>
      <c r="B97" s="3" t="s">
        <v>31</v>
      </c>
      <c r="C97" s="4"/>
      <c r="D97" s="4"/>
      <c r="E97" s="4"/>
      <c r="F97" s="4"/>
      <c r="G97" s="4"/>
      <c r="H97" s="4"/>
      <c r="I97" s="4"/>
      <c r="J97" s="4"/>
      <c r="K97" s="4"/>
      <c r="L97" s="23"/>
      <c r="M97" s="23"/>
      <c r="N97" s="23"/>
    </row>
    <row r="98" spans="1:14" ht="13.15" hidden="1" x14ac:dyDescent="0.25">
      <c r="A98" s="3" t="s">
        <v>121</v>
      </c>
      <c r="B98" s="3" t="s">
        <v>122</v>
      </c>
      <c r="C98" s="3" t="s">
        <v>1</v>
      </c>
      <c r="D98" s="3" t="s">
        <v>1</v>
      </c>
      <c r="E98" s="3" t="s">
        <v>1</v>
      </c>
      <c r="F98" s="3" t="s">
        <v>1</v>
      </c>
      <c r="G98" s="3" t="s">
        <v>1</v>
      </c>
      <c r="H98" s="3" t="s">
        <v>1</v>
      </c>
      <c r="I98" s="4"/>
      <c r="J98" s="4"/>
      <c r="K98" s="4"/>
      <c r="L98" s="23"/>
      <c r="M98" s="23"/>
      <c r="N98" s="23"/>
    </row>
    <row r="99" spans="1:14" ht="13.15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</row>
    <row r="100" spans="1:14" ht="13.15" x14ac:dyDescent="0.25">
      <c r="A100" s="272" t="s">
        <v>383</v>
      </c>
      <c r="B100" s="272"/>
      <c r="C100" s="272"/>
      <c r="D100" s="272"/>
      <c r="E100" s="272"/>
      <c r="F100" s="272"/>
      <c r="G100" s="272"/>
      <c r="H100" s="272"/>
      <c r="I100" s="272"/>
      <c r="J100" s="272"/>
      <c r="K100" s="272"/>
      <c r="L100" s="23"/>
      <c r="M100" s="23"/>
      <c r="N100" s="23"/>
    </row>
    <row r="101" spans="1:14" ht="13.15" hidden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</row>
    <row r="102" spans="1:14" ht="30.7" hidden="1" customHeight="1" x14ac:dyDescent="0.25">
      <c r="A102" s="245" t="s">
        <v>136</v>
      </c>
      <c r="B102" s="248" t="s">
        <v>11</v>
      </c>
      <c r="C102" s="248" t="s">
        <v>132</v>
      </c>
      <c r="D102" s="248"/>
      <c r="E102" s="248"/>
      <c r="F102" s="248" t="s">
        <v>137</v>
      </c>
      <c r="G102" s="248"/>
      <c r="H102" s="248"/>
      <c r="I102" s="248" t="s">
        <v>134</v>
      </c>
      <c r="J102" s="248"/>
      <c r="K102" s="248"/>
      <c r="L102" s="23"/>
      <c r="M102" s="23"/>
      <c r="N102" s="23"/>
    </row>
    <row r="103" spans="1:14" ht="13.15" hidden="1" x14ac:dyDescent="0.25">
      <c r="A103" s="245"/>
      <c r="B103" s="248"/>
      <c r="C103" s="3" t="s">
        <v>7</v>
      </c>
      <c r="D103" s="3" t="s">
        <v>8</v>
      </c>
      <c r="E103" s="3" t="s">
        <v>9</v>
      </c>
      <c r="F103" s="3" t="s">
        <v>7</v>
      </c>
      <c r="G103" s="3" t="s">
        <v>8</v>
      </c>
      <c r="H103" s="3" t="s">
        <v>9</v>
      </c>
      <c r="I103" s="3" t="s">
        <v>7</v>
      </c>
      <c r="J103" s="3" t="s">
        <v>8</v>
      </c>
      <c r="K103" s="3" t="s">
        <v>9</v>
      </c>
      <c r="L103" s="23"/>
      <c r="M103" s="23"/>
      <c r="N103" s="23"/>
    </row>
    <row r="104" spans="1:14" ht="55.6" hidden="1" customHeight="1" x14ac:dyDescent="0.25">
      <c r="A104" s="245"/>
      <c r="B104" s="248"/>
      <c r="C104" s="37" t="s">
        <v>82</v>
      </c>
      <c r="D104" s="13" t="s">
        <v>83</v>
      </c>
      <c r="E104" s="13" t="s">
        <v>84</v>
      </c>
      <c r="F104" s="37" t="s">
        <v>82</v>
      </c>
      <c r="G104" s="13" t="s">
        <v>83</v>
      </c>
      <c r="H104" s="13" t="s">
        <v>84</v>
      </c>
      <c r="I104" s="37" t="s">
        <v>82</v>
      </c>
      <c r="J104" s="13" t="s">
        <v>83</v>
      </c>
      <c r="K104" s="13" t="s">
        <v>84</v>
      </c>
      <c r="L104" s="23"/>
      <c r="M104" s="23"/>
      <c r="N104" s="23"/>
    </row>
    <row r="105" spans="1:14" ht="13.15" hidden="1" x14ac:dyDescent="0.25">
      <c r="A105" s="3" t="s">
        <v>19</v>
      </c>
      <c r="B105" s="3" t="s">
        <v>20</v>
      </c>
      <c r="C105" s="3" t="s">
        <v>21</v>
      </c>
      <c r="D105" s="3" t="s">
        <v>22</v>
      </c>
      <c r="E105" s="3" t="s">
        <v>23</v>
      </c>
      <c r="F105" s="3" t="s">
        <v>24</v>
      </c>
      <c r="G105" s="3" t="s">
        <v>25</v>
      </c>
      <c r="H105" s="3" t="s">
        <v>26</v>
      </c>
      <c r="I105" s="3" t="s">
        <v>27</v>
      </c>
      <c r="J105" s="3" t="s">
        <v>28</v>
      </c>
      <c r="K105" s="3" t="s">
        <v>29</v>
      </c>
      <c r="L105" s="23"/>
      <c r="M105" s="23"/>
      <c r="N105" s="23"/>
    </row>
    <row r="106" spans="1:14" ht="13.15" hidden="1" x14ac:dyDescent="0.25">
      <c r="A106" s="4"/>
      <c r="B106" s="3" t="s">
        <v>31</v>
      </c>
      <c r="C106" s="4"/>
      <c r="D106" s="4"/>
      <c r="E106" s="4"/>
      <c r="F106" s="4"/>
      <c r="G106" s="4"/>
      <c r="H106" s="4"/>
      <c r="I106" s="4"/>
      <c r="J106" s="4"/>
      <c r="K106" s="4"/>
      <c r="L106" s="23"/>
      <c r="M106" s="23"/>
      <c r="N106" s="23"/>
    </row>
    <row r="107" spans="1:14" ht="13.15" hidden="1" x14ac:dyDescent="0.25">
      <c r="A107" s="3" t="s">
        <v>121</v>
      </c>
      <c r="B107" s="3" t="s">
        <v>122</v>
      </c>
      <c r="C107" s="3" t="s">
        <v>1</v>
      </c>
      <c r="D107" s="3" t="s">
        <v>1</v>
      </c>
      <c r="E107" s="3" t="s">
        <v>1</v>
      </c>
      <c r="F107" s="3" t="s">
        <v>1</v>
      </c>
      <c r="G107" s="3" t="s">
        <v>1</v>
      </c>
      <c r="H107" s="3" t="s">
        <v>1</v>
      </c>
      <c r="I107" s="4"/>
      <c r="J107" s="4"/>
      <c r="K107" s="4"/>
      <c r="L107" s="23"/>
      <c r="M107" s="23"/>
      <c r="N107" s="23"/>
    </row>
    <row r="108" spans="1:14" ht="13.15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</row>
    <row r="109" spans="1:14" ht="13.15" x14ac:dyDescent="0.25">
      <c r="A109" s="272" t="s">
        <v>138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3"/>
      <c r="M109" s="23"/>
      <c r="N109" s="23"/>
    </row>
    <row r="110" spans="1:14" ht="13.15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</row>
    <row r="111" spans="1:14" ht="13.15" x14ac:dyDescent="0.25">
      <c r="A111" s="272" t="s">
        <v>384</v>
      </c>
      <c r="B111" s="272"/>
      <c r="C111" s="272"/>
      <c r="D111" s="272"/>
      <c r="E111" s="272"/>
      <c r="F111" s="272"/>
      <c r="G111" s="272"/>
      <c r="H111" s="272"/>
      <c r="I111" s="272"/>
      <c r="J111" s="272"/>
      <c r="K111" s="272"/>
      <c r="L111" s="23"/>
      <c r="M111" s="23"/>
      <c r="N111" s="23"/>
    </row>
    <row r="112" spans="1:14" ht="13.15" hidden="1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</row>
    <row r="113" spans="1:14" ht="13.15" hidden="1" x14ac:dyDescent="0.25">
      <c r="A113" s="247" t="s">
        <v>10</v>
      </c>
      <c r="B113" s="248" t="s">
        <v>11</v>
      </c>
      <c r="C113" s="262" t="s">
        <v>81</v>
      </c>
      <c r="D113" s="262"/>
      <c r="E113" s="262"/>
      <c r="F113" s="23"/>
      <c r="G113" s="23"/>
      <c r="H113" s="23"/>
      <c r="I113" s="23"/>
      <c r="J113" s="23"/>
      <c r="K113" s="23"/>
      <c r="L113" s="23"/>
      <c r="M113" s="23"/>
      <c r="N113" s="23"/>
    </row>
    <row r="114" spans="1:14" ht="13.15" hidden="1" x14ac:dyDescent="0.25">
      <c r="A114" s="247"/>
      <c r="B114" s="248"/>
      <c r="C114" s="3" t="s">
        <v>7</v>
      </c>
      <c r="D114" s="3" t="s">
        <v>8</v>
      </c>
      <c r="E114" s="3" t="s">
        <v>9</v>
      </c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ht="43.55" hidden="1" customHeight="1" x14ac:dyDescent="0.25">
      <c r="A115" s="247"/>
      <c r="B115" s="248"/>
      <c r="C115" s="37" t="s">
        <v>82</v>
      </c>
      <c r="D115" s="37" t="s">
        <v>83</v>
      </c>
      <c r="E115" s="37" t="s">
        <v>84</v>
      </c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t="13.15" hidden="1" x14ac:dyDescent="0.25">
      <c r="A116" s="3" t="s">
        <v>19</v>
      </c>
      <c r="B116" s="3" t="s">
        <v>20</v>
      </c>
      <c r="C116" s="3" t="s">
        <v>21</v>
      </c>
      <c r="D116" s="3" t="s">
        <v>22</v>
      </c>
      <c r="E116" s="3" t="s">
        <v>23</v>
      </c>
      <c r="F116" s="23"/>
      <c r="G116" s="23"/>
      <c r="H116" s="23"/>
      <c r="I116" s="23"/>
      <c r="J116" s="23"/>
      <c r="K116" s="23"/>
      <c r="L116" s="23"/>
      <c r="M116" s="23"/>
      <c r="N116" s="23"/>
    </row>
    <row r="117" spans="1:14" ht="27.7" hidden="1" customHeight="1" x14ac:dyDescent="0.25">
      <c r="A117" s="15" t="s">
        <v>85</v>
      </c>
      <c r="B117" s="12" t="s">
        <v>86</v>
      </c>
      <c r="C117" s="32"/>
      <c r="D117" s="32"/>
      <c r="E117" s="32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40.549999999999997" hidden="1" customHeight="1" x14ac:dyDescent="0.25">
      <c r="A118" s="15" t="s">
        <v>139</v>
      </c>
      <c r="B118" s="12" t="s">
        <v>88</v>
      </c>
      <c r="C118" s="32"/>
      <c r="D118" s="32"/>
      <c r="E118" s="32"/>
      <c r="F118" s="23"/>
      <c r="G118" s="23"/>
      <c r="H118" s="23"/>
      <c r="I118" s="23"/>
      <c r="J118" s="23"/>
      <c r="K118" s="23"/>
      <c r="L118" s="23"/>
      <c r="M118" s="23"/>
      <c r="N118" s="23"/>
    </row>
    <row r="119" spans="1:14" ht="28.5" hidden="1" customHeight="1" x14ac:dyDescent="0.25">
      <c r="A119" s="15" t="s">
        <v>140</v>
      </c>
      <c r="B119" s="12" t="s">
        <v>90</v>
      </c>
      <c r="C119" s="32"/>
      <c r="D119" s="32"/>
      <c r="E119" s="32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16.45" hidden="1" customHeight="1" x14ac:dyDescent="0.25">
      <c r="A120" s="15" t="s">
        <v>141</v>
      </c>
      <c r="B120" s="12" t="s">
        <v>91</v>
      </c>
      <c r="C120" s="32"/>
      <c r="D120" s="32"/>
      <c r="E120" s="32"/>
      <c r="F120" s="23"/>
      <c r="G120" s="23"/>
      <c r="H120" s="23"/>
      <c r="I120" s="23"/>
      <c r="J120" s="23"/>
      <c r="K120" s="23"/>
      <c r="L120" s="23"/>
      <c r="M120" s="23"/>
      <c r="N120" s="23"/>
    </row>
    <row r="121" spans="1:14" ht="14.25" hidden="1" customHeight="1" x14ac:dyDescent="0.25">
      <c r="A121" s="40" t="s">
        <v>142</v>
      </c>
      <c r="B121" s="12" t="s">
        <v>93</v>
      </c>
      <c r="C121" s="32"/>
      <c r="D121" s="32"/>
      <c r="E121" s="32"/>
      <c r="F121" s="23"/>
      <c r="G121" s="23"/>
      <c r="H121" s="23"/>
      <c r="I121" s="23"/>
      <c r="J121" s="23"/>
      <c r="K121" s="23"/>
      <c r="L121" s="23"/>
      <c r="M121" s="23"/>
      <c r="N121" s="23"/>
    </row>
    <row r="122" spans="1:14" ht="16.45" hidden="1" customHeight="1" x14ac:dyDescent="0.25">
      <c r="A122" s="15" t="s">
        <v>143</v>
      </c>
      <c r="B122" s="12" t="s">
        <v>94</v>
      </c>
      <c r="C122" s="32"/>
      <c r="D122" s="32"/>
      <c r="E122" s="32"/>
      <c r="F122" s="23"/>
      <c r="G122" s="23"/>
      <c r="H122" s="23"/>
      <c r="I122" s="23"/>
      <c r="J122" s="23"/>
      <c r="K122" s="23"/>
      <c r="L122" s="23"/>
      <c r="M122" s="23"/>
      <c r="N122" s="23"/>
    </row>
    <row r="123" spans="1:14" ht="27.7" hidden="1" customHeight="1" x14ac:dyDescent="0.25">
      <c r="A123" s="15" t="s">
        <v>107</v>
      </c>
      <c r="B123" s="12" t="s">
        <v>108</v>
      </c>
      <c r="C123" s="32"/>
      <c r="D123" s="32"/>
      <c r="E123" s="32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4" ht="40.549999999999997" hidden="1" customHeight="1" x14ac:dyDescent="0.25">
      <c r="A124" s="15" t="s">
        <v>144</v>
      </c>
      <c r="B124" s="12" t="s">
        <v>110</v>
      </c>
      <c r="C124" s="32"/>
      <c r="D124" s="32"/>
      <c r="E124" s="32"/>
      <c r="F124" s="23"/>
      <c r="G124" s="23"/>
      <c r="H124" s="23"/>
      <c r="I124" s="23"/>
      <c r="J124" s="23"/>
      <c r="K124" s="23"/>
      <c r="L124" s="23"/>
      <c r="M124" s="23"/>
      <c r="N124" s="23"/>
    </row>
    <row r="125" spans="1:14" ht="39.799999999999997" hidden="1" customHeight="1" x14ac:dyDescent="0.25">
      <c r="A125" s="15" t="s">
        <v>145</v>
      </c>
      <c r="B125" s="12" t="s">
        <v>112</v>
      </c>
      <c r="C125" s="32"/>
      <c r="D125" s="32"/>
      <c r="E125" s="32"/>
      <c r="F125" s="23"/>
      <c r="G125" s="23"/>
      <c r="H125" s="23"/>
      <c r="I125" s="23"/>
      <c r="J125" s="23"/>
      <c r="K125" s="23"/>
      <c r="L125" s="23"/>
      <c r="M125" s="23"/>
      <c r="N125" s="23"/>
    </row>
    <row r="126" spans="1:14" ht="13.15" hidden="1" x14ac:dyDescent="0.25">
      <c r="A126" s="5" t="s">
        <v>146</v>
      </c>
      <c r="B126" s="12"/>
      <c r="C126" s="4"/>
      <c r="D126" s="4"/>
      <c r="E126" s="4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ht="13.15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</row>
    <row r="128" spans="1:14" ht="14.25" customHeight="1" x14ac:dyDescent="0.25">
      <c r="A128" s="272" t="s">
        <v>385</v>
      </c>
      <c r="B128" s="272"/>
      <c r="C128" s="272"/>
      <c r="D128" s="272"/>
      <c r="E128" s="272"/>
      <c r="F128" s="272"/>
      <c r="G128" s="272"/>
      <c r="H128" s="272"/>
      <c r="I128" s="272"/>
      <c r="J128" s="272"/>
      <c r="K128" s="272"/>
      <c r="L128" s="23"/>
      <c r="M128" s="23"/>
      <c r="N128" s="23"/>
    </row>
    <row r="129" spans="1:14" ht="13.15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ht="13.15" x14ac:dyDescent="0.25">
      <c r="A130" s="247" t="s">
        <v>10</v>
      </c>
      <c r="B130" s="248" t="s">
        <v>11</v>
      </c>
      <c r="C130" s="262" t="s">
        <v>81</v>
      </c>
      <c r="D130" s="262"/>
      <c r="E130" s="262"/>
      <c r="F130" s="23"/>
      <c r="G130" s="23"/>
      <c r="H130" s="23"/>
      <c r="I130" s="23"/>
      <c r="J130" s="23"/>
      <c r="K130" s="23"/>
      <c r="L130" s="23"/>
      <c r="M130" s="23"/>
      <c r="N130" s="23"/>
    </row>
    <row r="131" spans="1:14" ht="13.15" x14ac:dyDescent="0.25">
      <c r="A131" s="247"/>
      <c r="B131" s="248"/>
      <c r="C131" s="142" t="s">
        <v>9</v>
      </c>
      <c r="D131" s="142" t="s">
        <v>571</v>
      </c>
      <c r="E131" s="142" t="s">
        <v>630</v>
      </c>
      <c r="F131" s="23"/>
      <c r="G131" s="23"/>
      <c r="H131" s="23"/>
      <c r="I131" s="23"/>
      <c r="J131" s="23"/>
      <c r="K131" s="23"/>
      <c r="L131" s="23"/>
      <c r="M131" s="23"/>
      <c r="N131" s="23"/>
    </row>
    <row r="132" spans="1:14" ht="39.450000000000003" x14ac:dyDescent="0.25">
      <c r="A132" s="247"/>
      <c r="B132" s="248"/>
      <c r="C132" s="37" t="s">
        <v>82</v>
      </c>
      <c r="D132" s="37" t="s">
        <v>83</v>
      </c>
      <c r="E132" s="37" t="s">
        <v>84</v>
      </c>
      <c r="F132" s="23"/>
      <c r="G132" s="23"/>
      <c r="H132" s="23"/>
      <c r="I132" s="23"/>
      <c r="J132" s="23"/>
      <c r="K132" s="23"/>
      <c r="L132" s="23"/>
      <c r="M132" s="23"/>
      <c r="N132" s="23"/>
    </row>
    <row r="133" spans="1:14" ht="13.15" x14ac:dyDescent="0.25">
      <c r="A133" s="3" t="s">
        <v>19</v>
      </c>
      <c r="B133" s="3" t="s">
        <v>20</v>
      </c>
      <c r="C133" s="3" t="s">
        <v>21</v>
      </c>
      <c r="D133" s="3" t="s">
        <v>22</v>
      </c>
      <c r="E133" s="3" t="s">
        <v>23</v>
      </c>
      <c r="F133" s="23"/>
      <c r="G133" s="23"/>
      <c r="H133" s="23"/>
      <c r="I133" s="23"/>
      <c r="J133" s="23"/>
      <c r="K133" s="23"/>
      <c r="L133" s="23"/>
      <c r="M133" s="23"/>
      <c r="N133" s="23"/>
    </row>
    <row r="134" spans="1:14" ht="28.5" customHeight="1" x14ac:dyDescent="0.25">
      <c r="A134" s="15" t="s">
        <v>85</v>
      </c>
      <c r="B134" s="95" t="s">
        <v>86</v>
      </c>
      <c r="C134" s="19">
        <v>0</v>
      </c>
      <c r="D134" s="19">
        <v>0</v>
      </c>
      <c r="E134" s="19">
        <v>0</v>
      </c>
      <c r="F134" s="23"/>
      <c r="G134" s="23"/>
      <c r="H134" s="23"/>
      <c r="I134" s="23"/>
      <c r="J134" s="23"/>
      <c r="K134" s="23"/>
      <c r="L134" s="23"/>
      <c r="M134" s="23"/>
      <c r="N134" s="23"/>
    </row>
    <row r="135" spans="1:14" ht="52.6" x14ac:dyDescent="0.25">
      <c r="A135" s="15" t="s">
        <v>87</v>
      </c>
      <c r="B135" s="95" t="s">
        <v>88</v>
      </c>
      <c r="C135" s="19">
        <v>0</v>
      </c>
      <c r="D135" s="19">
        <v>0</v>
      </c>
      <c r="E135" s="19">
        <v>0</v>
      </c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ht="13.5" customHeight="1" x14ac:dyDescent="0.25">
      <c r="A136" s="40" t="s">
        <v>147</v>
      </c>
      <c r="B136" s="95" t="s">
        <v>90</v>
      </c>
      <c r="C136" s="19">
        <f>C137</f>
        <v>0</v>
      </c>
      <c r="D136" s="19">
        <f>D137</f>
        <v>0</v>
      </c>
      <c r="E136" s="19">
        <f>E137</f>
        <v>0</v>
      </c>
      <c r="F136" s="23"/>
      <c r="G136" s="23"/>
      <c r="H136" s="23"/>
      <c r="I136" s="23"/>
      <c r="J136" s="23"/>
      <c r="K136" s="23"/>
      <c r="L136" s="23"/>
      <c r="M136" s="23"/>
      <c r="N136" s="23"/>
    </row>
    <row r="137" spans="1:14" ht="14.25" customHeight="1" x14ac:dyDescent="0.25">
      <c r="A137" s="15" t="s">
        <v>64</v>
      </c>
      <c r="B137" s="95" t="s">
        <v>91</v>
      </c>
      <c r="C137" s="19">
        <v>0</v>
      </c>
      <c r="D137" s="131">
        <v>0</v>
      </c>
      <c r="E137" s="131">
        <v>0</v>
      </c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4" ht="26.3" customHeight="1" x14ac:dyDescent="0.25">
      <c r="A138" s="15" t="s">
        <v>65</v>
      </c>
      <c r="B138" s="95" t="s">
        <v>93</v>
      </c>
      <c r="C138" s="19">
        <v>0</v>
      </c>
      <c r="D138" s="19">
        <v>0</v>
      </c>
      <c r="E138" s="19">
        <v>0</v>
      </c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4" ht="27.7" customHeight="1" x14ac:dyDescent="0.25">
      <c r="A139" s="15" t="s">
        <v>107</v>
      </c>
      <c r="B139" s="95" t="s">
        <v>108</v>
      </c>
      <c r="C139" s="19">
        <v>0</v>
      </c>
      <c r="D139" s="19">
        <v>0</v>
      </c>
      <c r="E139" s="19">
        <v>0</v>
      </c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ht="52.45" customHeight="1" x14ac:dyDescent="0.25">
      <c r="A140" s="15" t="s">
        <v>109</v>
      </c>
      <c r="B140" s="95" t="s">
        <v>110</v>
      </c>
      <c r="C140" s="19">
        <v>0</v>
      </c>
      <c r="D140" s="19">
        <v>0</v>
      </c>
      <c r="E140" s="19">
        <v>0</v>
      </c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ht="51.85" customHeight="1" x14ac:dyDescent="0.25">
      <c r="A141" s="15" t="s">
        <v>130</v>
      </c>
      <c r="B141" s="95" t="s">
        <v>112</v>
      </c>
      <c r="C141" s="43">
        <f>C136</f>
        <v>0</v>
      </c>
      <c r="D141" s="43">
        <f t="shared" ref="D141:E141" si="4">D136</f>
        <v>0</v>
      </c>
      <c r="E141" s="43">
        <f t="shared" si="4"/>
        <v>0</v>
      </c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ht="13.15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ht="16.45" customHeight="1" x14ac:dyDescent="0.25">
      <c r="A143" s="272" t="s">
        <v>386</v>
      </c>
      <c r="B143" s="272"/>
      <c r="C143" s="272"/>
      <c r="D143" s="272"/>
      <c r="E143" s="272"/>
      <c r="F143" s="272"/>
      <c r="G143" s="272"/>
      <c r="H143" s="272"/>
      <c r="I143" s="272"/>
      <c r="J143" s="272"/>
      <c r="K143" s="272"/>
      <c r="L143" s="23"/>
      <c r="M143" s="23"/>
      <c r="N143" s="23"/>
    </row>
    <row r="144" spans="1:14" ht="13.15" hidden="1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16.45" hidden="1" customHeight="1" x14ac:dyDescent="0.25">
      <c r="A145" s="247" t="s">
        <v>10</v>
      </c>
      <c r="B145" s="248" t="s">
        <v>11</v>
      </c>
      <c r="C145" s="262" t="s">
        <v>81</v>
      </c>
      <c r="D145" s="262"/>
      <c r="E145" s="262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4" ht="15.05" hidden="1" customHeight="1" x14ac:dyDescent="0.25">
      <c r="A146" s="247"/>
      <c r="B146" s="248"/>
      <c r="C146" s="3" t="s">
        <v>7</v>
      </c>
      <c r="D146" s="3" t="s">
        <v>8</v>
      </c>
      <c r="E146" s="3" t="s">
        <v>9</v>
      </c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4" ht="40.549999999999997" hidden="1" customHeight="1" x14ac:dyDescent="0.25">
      <c r="A147" s="247"/>
      <c r="B147" s="248"/>
      <c r="C147" s="37" t="s">
        <v>82</v>
      </c>
      <c r="D147" s="37" t="s">
        <v>83</v>
      </c>
      <c r="E147" s="37" t="s">
        <v>84</v>
      </c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13.15" hidden="1" x14ac:dyDescent="0.25">
      <c r="A148" s="3" t="s">
        <v>19</v>
      </c>
      <c r="B148" s="3" t="s">
        <v>20</v>
      </c>
      <c r="C148" s="3" t="s">
        <v>21</v>
      </c>
      <c r="D148" s="3" t="s">
        <v>22</v>
      </c>
      <c r="E148" s="3" t="s">
        <v>23</v>
      </c>
      <c r="F148" s="23"/>
      <c r="G148" s="23"/>
      <c r="H148" s="23"/>
      <c r="I148" s="23"/>
      <c r="J148" s="23"/>
      <c r="K148" s="23"/>
      <c r="L148" s="23"/>
      <c r="M148" s="23"/>
      <c r="N148" s="23"/>
    </row>
    <row r="149" spans="1:14" ht="30.05" hidden="1" customHeight="1" x14ac:dyDescent="0.25">
      <c r="A149" s="5" t="s">
        <v>85</v>
      </c>
      <c r="B149" s="9" t="s">
        <v>86</v>
      </c>
      <c r="C149" s="32"/>
      <c r="D149" s="32"/>
      <c r="E149" s="32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54.8" hidden="1" customHeight="1" x14ac:dyDescent="0.25">
      <c r="A150" s="5" t="s">
        <v>87</v>
      </c>
      <c r="B150" s="9" t="s">
        <v>88</v>
      </c>
      <c r="C150" s="32"/>
      <c r="D150" s="32"/>
      <c r="E150" s="32"/>
      <c r="F150" s="23"/>
      <c r="G150" s="23"/>
      <c r="H150" s="23"/>
      <c r="I150" s="23"/>
      <c r="J150" s="23"/>
      <c r="K150" s="23"/>
      <c r="L150" s="23"/>
      <c r="M150" s="23"/>
      <c r="N150" s="23"/>
    </row>
    <row r="151" spans="1:14" ht="15.85" hidden="1" customHeight="1" x14ac:dyDescent="0.25">
      <c r="A151" s="5" t="s">
        <v>148</v>
      </c>
      <c r="B151" s="9" t="s">
        <v>90</v>
      </c>
      <c r="C151" s="32"/>
      <c r="D151" s="32"/>
      <c r="E151" s="32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4" ht="26.3" hidden="1" x14ac:dyDescent="0.25">
      <c r="A152" s="15" t="s">
        <v>149</v>
      </c>
      <c r="B152" s="9" t="s">
        <v>91</v>
      </c>
      <c r="C152" s="32"/>
      <c r="D152" s="32"/>
      <c r="E152" s="32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26.3" hidden="1" x14ac:dyDescent="0.25">
      <c r="A153" s="5" t="s">
        <v>150</v>
      </c>
      <c r="B153" s="9" t="s">
        <v>93</v>
      </c>
      <c r="C153" s="32"/>
      <c r="D153" s="32"/>
      <c r="E153" s="32"/>
      <c r="F153" s="23"/>
      <c r="G153" s="23"/>
      <c r="H153" s="23"/>
      <c r="I153" s="23"/>
      <c r="J153" s="23"/>
      <c r="K153" s="23"/>
      <c r="L153" s="23"/>
      <c r="M153" s="23"/>
      <c r="N153" s="23"/>
    </row>
    <row r="154" spans="1:14" ht="27.1" hidden="1" customHeight="1" x14ac:dyDescent="0.25">
      <c r="A154" s="5" t="s">
        <v>107</v>
      </c>
      <c r="B154" s="9" t="s">
        <v>108</v>
      </c>
      <c r="C154" s="32"/>
      <c r="D154" s="32"/>
      <c r="E154" s="32"/>
      <c r="F154" s="23"/>
      <c r="G154" s="23"/>
      <c r="H154" s="23"/>
      <c r="I154" s="23"/>
      <c r="J154" s="23"/>
      <c r="K154" s="23"/>
      <c r="L154" s="23"/>
      <c r="M154" s="23"/>
      <c r="N154" s="23"/>
    </row>
    <row r="155" spans="1:14" ht="17.25" hidden="1" customHeight="1" x14ac:dyDescent="0.25">
      <c r="A155" s="7" t="s">
        <v>151</v>
      </c>
      <c r="B155" s="41" t="s">
        <v>110</v>
      </c>
      <c r="C155" s="44"/>
      <c r="D155" s="44"/>
      <c r="E155" s="44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ht="41.35" hidden="1" customHeight="1" x14ac:dyDescent="0.25">
      <c r="A156" s="5" t="s">
        <v>152</v>
      </c>
      <c r="B156" s="32"/>
      <c r="C156" s="32"/>
      <c r="D156" s="32"/>
      <c r="E156" s="32"/>
      <c r="F156" s="23"/>
      <c r="G156" s="23"/>
      <c r="H156" s="23"/>
      <c r="I156" s="23"/>
      <c r="J156" s="23"/>
      <c r="K156" s="23"/>
      <c r="L156" s="23"/>
      <c r="M156" s="23"/>
      <c r="N156" s="23"/>
    </row>
    <row r="157" spans="1:14" ht="52.6" hidden="1" x14ac:dyDescent="0.25">
      <c r="A157" s="5" t="s">
        <v>130</v>
      </c>
      <c r="B157" s="9" t="s">
        <v>112</v>
      </c>
      <c r="C157" s="32"/>
      <c r="D157" s="32"/>
      <c r="E157" s="32"/>
      <c r="F157" s="23"/>
      <c r="G157" s="23"/>
      <c r="H157" s="23"/>
      <c r="I157" s="23"/>
      <c r="J157" s="23"/>
      <c r="K157" s="23"/>
      <c r="L157" s="23"/>
      <c r="M157" s="23"/>
      <c r="N157" s="23"/>
    </row>
  </sheetData>
  <mergeCells count="58">
    <mergeCell ref="C71:E71"/>
    <mergeCell ref="F71:H71"/>
    <mergeCell ref="I71:K71"/>
    <mergeCell ref="A82:A84"/>
    <mergeCell ref="B82:B84"/>
    <mergeCell ref="C82:E82"/>
    <mergeCell ref="A143:K143"/>
    <mergeCell ref="A7:A9"/>
    <mergeCell ref="B7:B9"/>
    <mergeCell ref="C7:E7"/>
    <mergeCell ref="A29:A31"/>
    <mergeCell ref="B29:B31"/>
    <mergeCell ref="C29:E29"/>
    <mergeCell ref="F93:H93"/>
    <mergeCell ref="I93:K93"/>
    <mergeCell ref="A102:A104"/>
    <mergeCell ref="B102:B104"/>
    <mergeCell ref="C102:E102"/>
    <mergeCell ref="F102:H102"/>
    <mergeCell ref="I102:K102"/>
    <mergeCell ref="A71:A73"/>
    <mergeCell ref="B71:B73"/>
    <mergeCell ref="A54:A56"/>
    <mergeCell ref="B54:B56"/>
    <mergeCell ref="C54:E54"/>
    <mergeCell ref="F29:H29"/>
    <mergeCell ref="I29:K29"/>
    <mergeCell ref="A52:K52"/>
    <mergeCell ref="A3:L3"/>
    <mergeCell ref="A5:L5"/>
    <mergeCell ref="A43:A45"/>
    <mergeCell ref="B43:B45"/>
    <mergeCell ref="C43:E43"/>
    <mergeCell ref="F43:H43"/>
    <mergeCell ref="I43:K43"/>
    <mergeCell ref="C130:E130"/>
    <mergeCell ref="A93:A95"/>
    <mergeCell ref="B93:B95"/>
    <mergeCell ref="C93:E93"/>
    <mergeCell ref="A109:K109"/>
    <mergeCell ref="A111:K111"/>
    <mergeCell ref="A128:K128"/>
    <mergeCell ref="A1:L1"/>
    <mergeCell ref="A27:K27"/>
    <mergeCell ref="A41:K41"/>
    <mergeCell ref="A50:K50"/>
    <mergeCell ref="A145:A147"/>
    <mergeCell ref="B145:B147"/>
    <mergeCell ref="C145:E145"/>
    <mergeCell ref="F82:H82"/>
    <mergeCell ref="I82:K82"/>
    <mergeCell ref="A91:K91"/>
    <mergeCell ref="A100:K100"/>
    <mergeCell ref="A113:A115"/>
    <mergeCell ref="B113:B115"/>
    <mergeCell ref="C113:E113"/>
    <mergeCell ref="A130:A132"/>
    <mergeCell ref="B130:B132"/>
  </mergeCells>
  <pageMargins left="0.39370078740157483" right="0.19685039370078741" top="0.39370078740157483" bottom="0.19685039370078741" header="0.31496062992125984" footer="0.31496062992125984"/>
  <pageSetup paperSize="9" scale="67" orientation="landscape" r:id="rId1"/>
  <rowBreaks count="1" manualBreakCount="1">
    <brk id="6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P266"/>
  <sheetViews>
    <sheetView view="pageBreakPreview" topLeftCell="A217" zoomScaleSheetLayoutView="100" workbookViewId="0">
      <selection activeCell="P51" sqref="P44:P51"/>
    </sheetView>
  </sheetViews>
  <sheetFormatPr defaultRowHeight="12.55" x14ac:dyDescent="0.2"/>
  <cols>
    <col min="1" max="1" width="36.44140625" customWidth="1"/>
    <col min="2" max="2" width="7.5546875" customWidth="1"/>
    <col min="3" max="3" width="12.5546875" customWidth="1"/>
    <col min="4" max="4" width="13.88671875" customWidth="1"/>
    <col min="5" max="5" width="12.33203125" customWidth="1"/>
    <col min="6" max="6" width="11.5546875" customWidth="1"/>
    <col min="7" max="7" width="11.33203125" customWidth="1"/>
    <col min="8" max="9" width="12" customWidth="1"/>
    <col min="10" max="10" width="11.88671875" customWidth="1"/>
    <col min="11" max="11" width="11" customWidth="1"/>
    <col min="12" max="12" width="12.44140625" customWidth="1"/>
    <col min="13" max="13" width="11.109375" customWidth="1"/>
    <col min="14" max="14" width="10.88671875" customWidth="1"/>
  </cols>
  <sheetData>
    <row r="1" spans="1:14" ht="13.15" x14ac:dyDescent="0.25">
      <c r="A1" s="272" t="s">
        <v>387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3"/>
      <c r="M1" s="23"/>
      <c r="N1" s="23"/>
    </row>
    <row r="2" spans="1:14" ht="13.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9.3" customHeight="1" x14ac:dyDescent="0.2">
      <c r="A3" s="273" t="s">
        <v>462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ht="13.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85" customHeight="1" x14ac:dyDescent="0.25">
      <c r="A5" s="247" t="s">
        <v>10</v>
      </c>
      <c r="B5" s="248" t="s">
        <v>11</v>
      </c>
      <c r="C5" s="247" t="s">
        <v>81</v>
      </c>
      <c r="D5" s="247"/>
      <c r="E5" s="247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5">
      <c r="A6" s="247"/>
      <c r="B6" s="248"/>
      <c r="C6" s="12" t="s">
        <v>9</v>
      </c>
      <c r="D6" s="12" t="s">
        <v>571</v>
      </c>
      <c r="E6" s="12" t="s">
        <v>630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1.95" customHeight="1" x14ac:dyDescent="0.25">
      <c r="A7" s="247"/>
      <c r="B7" s="248"/>
      <c r="C7" s="37" t="s">
        <v>82</v>
      </c>
      <c r="D7" s="37" t="s">
        <v>83</v>
      </c>
      <c r="E7" s="37" t="s">
        <v>84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13.15" x14ac:dyDescent="0.25">
      <c r="A8" s="12" t="s">
        <v>19</v>
      </c>
      <c r="B8" s="12" t="s">
        <v>20</v>
      </c>
      <c r="C8" s="12" t="s">
        <v>21</v>
      </c>
      <c r="D8" s="12" t="s">
        <v>22</v>
      </c>
      <c r="E8" s="12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9.450000000000003" x14ac:dyDescent="0.25">
      <c r="A9" s="5" t="s">
        <v>153</v>
      </c>
      <c r="B9" s="95" t="s">
        <v>86</v>
      </c>
      <c r="C9" s="19">
        <v>0</v>
      </c>
      <c r="D9" s="19">
        <v>0</v>
      </c>
      <c r="E9" s="19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9.450000000000003" x14ac:dyDescent="0.25">
      <c r="A10" s="5" t="s">
        <v>154</v>
      </c>
      <c r="B10" s="95" t="s">
        <v>88</v>
      </c>
      <c r="C10" s="19">
        <v>0</v>
      </c>
      <c r="D10" s="19">
        <v>0</v>
      </c>
      <c r="E10" s="19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5">
      <c r="A11" s="2" t="s">
        <v>155</v>
      </c>
      <c r="B11" s="95" t="s">
        <v>90</v>
      </c>
      <c r="C11" s="19">
        <f>L68</f>
        <v>10680163.998026239</v>
      </c>
      <c r="D11" s="19">
        <f>L118</f>
        <v>7221504.9980262388</v>
      </c>
      <c r="E11" s="19">
        <f>L168</f>
        <v>7221504.9980262388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9.450000000000003" x14ac:dyDescent="0.25">
      <c r="A12" s="5" t="s">
        <v>156</v>
      </c>
      <c r="B12" s="95" t="s">
        <v>108</v>
      </c>
      <c r="C12" s="19">
        <v>0</v>
      </c>
      <c r="D12" s="19">
        <v>0</v>
      </c>
      <c r="E12" s="19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9.450000000000003" x14ac:dyDescent="0.25">
      <c r="A13" s="5" t="s">
        <v>157</v>
      </c>
      <c r="B13" s="95" t="s">
        <v>110</v>
      </c>
      <c r="C13" s="19">
        <v>0</v>
      </c>
      <c r="D13" s="19">
        <v>0</v>
      </c>
      <c r="E13" s="19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6.3" x14ac:dyDescent="0.25">
      <c r="A14" s="5" t="s">
        <v>158</v>
      </c>
      <c r="B14" s="95" t="s">
        <v>112</v>
      </c>
      <c r="C14" s="43">
        <f>C11</f>
        <v>10680163.998026239</v>
      </c>
      <c r="D14" s="43">
        <f t="shared" ref="D14:E14" si="0">D11</f>
        <v>7221504.9980262388</v>
      </c>
      <c r="E14" s="43">
        <f t="shared" si="0"/>
        <v>7221504.9980262388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3.1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3.15" x14ac:dyDescent="0.25">
      <c r="A16" s="39" t="s">
        <v>159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3.1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3.15" x14ac:dyDescent="0.2">
      <c r="A18" s="272" t="s">
        <v>631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</row>
    <row r="19" spans="1:14" ht="13.1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3.15" x14ac:dyDescent="0.25">
      <c r="A20" s="245" t="s">
        <v>160</v>
      </c>
      <c r="B20" s="245" t="s">
        <v>11</v>
      </c>
      <c r="C20" s="245" t="s">
        <v>161</v>
      </c>
      <c r="D20" s="247" t="s">
        <v>162</v>
      </c>
      <c r="E20" s="247"/>
      <c r="F20" s="247"/>
      <c r="G20" s="247"/>
      <c r="H20" s="247"/>
      <c r="I20" s="247"/>
      <c r="J20" s="247"/>
      <c r="K20" s="247"/>
      <c r="L20" s="248" t="s">
        <v>163</v>
      </c>
      <c r="M20" s="23"/>
      <c r="N20" s="23"/>
    </row>
    <row r="21" spans="1:14" ht="13.15" x14ac:dyDescent="0.25">
      <c r="A21" s="245"/>
      <c r="B21" s="245"/>
      <c r="C21" s="245"/>
      <c r="D21" s="248" t="s">
        <v>379</v>
      </c>
      <c r="E21" s="247" t="s">
        <v>57</v>
      </c>
      <c r="F21" s="247"/>
      <c r="G21" s="247"/>
      <c r="H21" s="247"/>
      <c r="I21" s="247"/>
      <c r="J21" s="247"/>
      <c r="K21" s="247"/>
      <c r="L21" s="248"/>
      <c r="M21" s="23"/>
      <c r="N21" s="23"/>
    </row>
    <row r="22" spans="1:14" ht="23.95" customHeight="1" x14ac:dyDescent="0.25">
      <c r="A22" s="245"/>
      <c r="B22" s="245"/>
      <c r="C22" s="245"/>
      <c r="D22" s="248"/>
      <c r="E22" s="248" t="s">
        <v>164</v>
      </c>
      <c r="F22" s="248" t="s">
        <v>165</v>
      </c>
      <c r="G22" s="248" t="s">
        <v>166</v>
      </c>
      <c r="H22" s="245" t="s">
        <v>167</v>
      </c>
      <c r="I22" s="245"/>
      <c r="J22" s="245" t="s">
        <v>168</v>
      </c>
      <c r="K22" s="245"/>
      <c r="L22" s="248"/>
      <c r="M22" s="23"/>
      <c r="N22" s="23"/>
    </row>
    <row r="23" spans="1:14" ht="52.6" x14ac:dyDescent="0.25">
      <c r="A23" s="245"/>
      <c r="B23" s="245"/>
      <c r="C23" s="245"/>
      <c r="D23" s="248"/>
      <c r="E23" s="248"/>
      <c r="F23" s="248"/>
      <c r="G23" s="248"/>
      <c r="H23" s="11" t="s">
        <v>169</v>
      </c>
      <c r="I23" s="13" t="s">
        <v>170</v>
      </c>
      <c r="J23" s="11" t="s">
        <v>169</v>
      </c>
      <c r="K23" s="13" t="s">
        <v>171</v>
      </c>
      <c r="L23" s="248"/>
      <c r="M23" s="23"/>
      <c r="N23" s="23"/>
    </row>
    <row r="24" spans="1:14" ht="13.15" x14ac:dyDescent="0.25">
      <c r="A24" s="12" t="s">
        <v>19</v>
      </c>
      <c r="B24" s="12" t="s">
        <v>20</v>
      </c>
      <c r="C24" s="12" t="s">
        <v>21</v>
      </c>
      <c r="D24" s="12" t="s">
        <v>22</v>
      </c>
      <c r="E24" s="12" t="s">
        <v>23</v>
      </c>
      <c r="F24" s="12" t="s">
        <v>24</v>
      </c>
      <c r="G24" s="111" t="s">
        <v>25</v>
      </c>
      <c r="H24" s="12" t="s">
        <v>26</v>
      </c>
      <c r="I24" s="12" t="s">
        <v>27</v>
      </c>
      <c r="J24" s="12" t="s">
        <v>28</v>
      </c>
      <c r="K24" s="12" t="s">
        <v>29</v>
      </c>
      <c r="L24" s="12" t="s">
        <v>172</v>
      </c>
      <c r="M24" s="23"/>
      <c r="N24" s="23"/>
    </row>
    <row r="25" spans="1:14" ht="13.5" customHeight="1" x14ac:dyDescent="0.25">
      <c r="A25" s="63" t="s">
        <v>398</v>
      </c>
      <c r="B25" s="132" t="s">
        <v>31</v>
      </c>
      <c r="C25" s="111">
        <v>1</v>
      </c>
      <c r="D25" s="131">
        <f>E25+F25+G25+I25+K25</f>
        <v>36384.614399999999</v>
      </c>
      <c r="E25" s="131">
        <v>18950.32</v>
      </c>
      <c r="F25" s="131">
        <f>E25*0.2</f>
        <v>3790.0640000000003</v>
      </c>
      <c r="G25" s="131"/>
      <c r="H25" s="132">
        <v>30</v>
      </c>
      <c r="I25" s="131">
        <f>(E25+F25+G25)*H25/100</f>
        <v>6822.1151999999993</v>
      </c>
      <c r="J25" s="132">
        <v>30</v>
      </c>
      <c r="K25" s="131">
        <f>(E25+F25+G25)*J25/100</f>
        <v>6822.1151999999993</v>
      </c>
      <c r="L25" s="131">
        <f>C25*D25*12</f>
        <v>436615.37280000001</v>
      </c>
      <c r="M25" s="109"/>
      <c r="N25" s="107"/>
    </row>
    <row r="26" spans="1:14" ht="25.55" customHeight="1" x14ac:dyDescent="0.25">
      <c r="A26" s="63" t="s">
        <v>607</v>
      </c>
      <c r="B26" s="151" t="s">
        <v>33</v>
      </c>
      <c r="C26" s="111">
        <v>1</v>
      </c>
      <c r="D26" s="131">
        <f>E26+F26+G26+I26+K26</f>
        <v>29107.699200000006</v>
      </c>
      <c r="E26" s="131">
        <v>15160.26</v>
      </c>
      <c r="F26" s="131">
        <f>E26*0.2</f>
        <v>3032.0520000000001</v>
      </c>
      <c r="G26" s="152"/>
      <c r="H26" s="132">
        <v>30</v>
      </c>
      <c r="I26" s="131">
        <f>(E26+F26+G26)*H26/100</f>
        <v>5457.6936000000014</v>
      </c>
      <c r="J26" s="132">
        <v>30</v>
      </c>
      <c r="K26" s="131">
        <f>(E26+F26+G26)*J26/100</f>
        <v>5457.6936000000014</v>
      </c>
      <c r="L26" s="131">
        <f>C26*D26*12</f>
        <v>349292.39040000009</v>
      </c>
      <c r="M26" s="109"/>
      <c r="N26" s="107"/>
    </row>
    <row r="27" spans="1:14" ht="13.5" customHeight="1" x14ac:dyDescent="0.25">
      <c r="A27" s="63" t="s">
        <v>608</v>
      </c>
      <c r="B27" s="151" t="s">
        <v>380</v>
      </c>
      <c r="C27" s="111">
        <v>1</v>
      </c>
      <c r="D27" s="147">
        <f t="shared" ref="D27" si="1">E27+F27+G27+I27+K27</f>
        <v>18772</v>
      </c>
      <c r="E27" s="147">
        <v>9025</v>
      </c>
      <c r="F27" s="147">
        <f t="shared" ref="F27" si="2">E27*0.2</f>
        <v>1805</v>
      </c>
      <c r="G27" s="174">
        <f>E27*0.1</f>
        <v>902.5</v>
      </c>
      <c r="H27" s="148">
        <v>30</v>
      </c>
      <c r="I27" s="147">
        <f t="shared" ref="I27" si="3">(E27+F27+G27)*H27/100</f>
        <v>3519.75</v>
      </c>
      <c r="J27" s="148">
        <v>30</v>
      </c>
      <c r="K27" s="147">
        <f t="shared" ref="K27" si="4">(E27+F27+G27)*J27/100</f>
        <v>3519.75</v>
      </c>
      <c r="L27" s="147">
        <f t="shared" ref="L27" si="5">C27*D27*12</f>
        <v>225264</v>
      </c>
      <c r="M27" s="109"/>
      <c r="N27" s="107"/>
    </row>
    <row r="28" spans="1:14" ht="13.5" customHeight="1" x14ac:dyDescent="0.25">
      <c r="A28" s="63" t="s">
        <v>636</v>
      </c>
      <c r="B28" s="151" t="s">
        <v>428</v>
      </c>
      <c r="C28" s="111">
        <v>1</v>
      </c>
      <c r="D28" s="147">
        <f t="shared" ref="D28:D46" si="6">E28+F28+G28+I28+K28</f>
        <v>25100.16</v>
      </c>
      <c r="E28" s="147">
        <v>13073</v>
      </c>
      <c r="F28" s="147">
        <f t="shared" ref="F28" si="7">E28*0.2</f>
        <v>2614.6000000000004</v>
      </c>
      <c r="G28" s="152"/>
      <c r="H28" s="148">
        <v>30</v>
      </c>
      <c r="I28" s="147">
        <f t="shared" ref="I28" si="8">(E28+F28+G28)*H28/100</f>
        <v>4706.28</v>
      </c>
      <c r="J28" s="148">
        <v>30</v>
      </c>
      <c r="K28" s="147">
        <f t="shared" ref="K28" si="9">(E28+F28+G28)*J28/100</f>
        <v>4706.28</v>
      </c>
      <c r="L28" s="147">
        <f t="shared" ref="L28" si="10">C28*D28*12</f>
        <v>301201.91999999998</v>
      </c>
      <c r="M28" s="109"/>
      <c r="N28" s="107"/>
    </row>
    <row r="29" spans="1:14" ht="26.3" customHeight="1" x14ac:dyDescent="0.25">
      <c r="A29" s="64" t="s">
        <v>637</v>
      </c>
      <c r="B29" s="151" t="s">
        <v>427</v>
      </c>
      <c r="C29" s="111">
        <v>0.5</v>
      </c>
      <c r="D29" s="131">
        <f t="shared" si="6"/>
        <v>19224.96</v>
      </c>
      <c r="E29" s="131">
        <v>10013</v>
      </c>
      <c r="F29" s="131">
        <f t="shared" ref="F29:F46" si="11">E29*0.2</f>
        <v>2002.6000000000001</v>
      </c>
      <c r="G29" s="152"/>
      <c r="H29" s="132">
        <v>30</v>
      </c>
      <c r="I29" s="131">
        <f t="shared" ref="I29:I46" si="12">(E29+F29+G29)*H29/100</f>
        <v>3604.68</v>
      </c>
      <c r="J29" s="132">
        <v>30</v>
      </c>
      <c r="K29" s="131">
        <f t="shared" ref="K29:K46" si="13">(E29+F29+G29)*J29/100</f>
        <v>3604.68</v>
      </c>
      <c r="L29" s="131">
        <f t="shared" ref="L29:L46" si="14">C29*D29*12</f>
        <v>115349.75999999999</v>
      </c>
      <c r="M29" s="109"/>
      <c r="N29" s="107"/>
    </row>
    <row r="30" spans="1:14" ht="15.05" customHeight="1" x14ac:dyDescent="0.25">
      <c r="A30" s="64" t="s">
        <v>410</v>
      </c>
      <c r="B30" s="151" t="s">
        <v>429</v>
      </c>
      <c r="C30" s="111">
        <v>1</v>
      </c>
      <c r="D30" s="131">
        <f t="shared" si="6"/>
        <v>15450.24</v>
      </c>
      <c r="E30" s="131">
        <v>7428</v>
      </c>
      <c r="F30" s="131">
        <f t="shared" si="11"/>
        <v>1485.6000000000001</v>
      </c>
      <c r="G30" s="174">
        <f t="shared" ref="G30:G31" si="15">E30*0.1</f>
        <v>742.80000000000007</v>
      </c>
      <c r="H30" s="132">
        <v>30</v>
      </c>
      <c r="I30" s="131">
        <f t="shared" si="12"/>
        <v>2896.92</v>
      </c>
      <c r="J30" s="132">
        <v>30</v>
      </c>
      <c r="K30" s="131">
        <f t="shared" si="13"/>
        <v>2896.92</v>
      </c>
      <c r="L30" s="131">
        <f t="shared" si="14"/>
        <v>185402.88</v>
      </c>
      <c r="M30" s="109"/>
      <c r="N30" s="107"/>
    </row>
    <row r="31" spans="1:14" ht="15.05" customHeight="1" x14ac:dyDescent="0.25">
      <c r="A31" s="63" t="s">
        <v>409</v>
      </c>
      <c r="B31" s="151" t="s">
        <v>430</v>
      </c>
      <c r="C31" s="111">
        <v>0.5</v>
      </c>
      <c r="D31" s="131">
        <f t="shared" si="6"/>
        <v>15450.24</v>
      </c>
      <c r="E31" s="131">
        <v>7428</v>
      </c>
      <c r="F31" s="131">
        <f t="shared" si="11"/>
        <v>1485.6000000000001</v>
      </c>
      <c r="G31" s="174">
        <f t="shared" si="15"/>
        <v>742.80000000000007</v>
      </c>
      <c r="H31" s="132">
        <v>30</v>
      </c>
      <c r="I31" s="131">
        <f t="shared" si="12"/>
        <v>2896.92</v>
      </c>
      <c r="J31" s="132">
        <v>30</v>
      </c>
      <c r="K31" s="131">
        <f t="shared" si="13"/>
        <v>2896.92</v>
      </c>
      <c r="L31" s="131">
        <f t="shared" si="14"/>
        <v>92701.440000000002</v>
      </c>
      <c r="M31" s="109"/>
      <c r="N31" s="107"/>
    </row>
    <row r="32" spans="1:14" ht="13.5" customHeight="1" x14ac:dyDescent="0.25">
      <c r="A32" s="63" t="s">
        <v>401</v>
      </c>
      <c r="B32" s="151" t="s">
        <v>431</v>
      </c>
      <c r="C32" s="111">
        <v>1.5</v>
      </c>
      <c r="D32" s="131">
        <f t="shared" si="6"/>
        <v>25100.16</v>
      </c>
      <c r="E32" s="131">
        <v>13073</v>
      </c>
      <c r="F32" s="131">
        <f t="shared" si="11"/>
        <v>2614.6000000000004</v>
      </c>
      <c r="G32" s="152"/>
      <c r="H32" s="132">
        <v>30</v>
      </c>
      <c r="I32" s="131">
        <f t="shared" si="12"/>
        <v>4706.28</v>
      </c>
      <c r="J32" s="132">
        <v>30</v>
      </c>
      <c r="K32" s="131">
        <f t="shared" si="13"/>
        <v>4706.28</v>
      </c>
      <c r="L32" s="131">
        <f t="shared" si="14"/>
        <v>451802.88</v>
      </c>
      <c r="M32" s="109"/>
      <c r="N32" s="107"/>
    </row>
    <row r="33" spans="1:16" ht="27.1" customHeight="1" x14ac:dyDescent="0.25">
      <c r="A33" s="63" t="s">
        <v>422</v>
      </c>
      <c r="B33" s="151" t="s">
        <v>432</v>
      </c>
      <c r="C33" s="111">
        <v>0.75</v>
      </c>
      <c r="D33" s="131">
        <f t="shared" si="6"/>
        <v>25100.16</v>
      </c>
      <c r="E33" s="131">
        <v>13073</v>
      </c>
      <c r="F33" s="131">
        <f t="shared" si="11"/>
        <v>2614.6000000000004</v>
      </c>
      <c r="G33" s="152"/>
      <c r="H33" s="132">
        <v>30</v>
      </c>
      <c r="I33" s="131">
        <f t="shared" si="12"/>
        <v>4706.28</v>
      </c>
      <c r="J33" s="132">
        <v>30</v>
      </c>
      <c r="K33" s="131">
        <f t="shared" si="13"/>
        <v>4706.28</v>
      </c>
      <c r="L33" s="131">
        <f t="shared" si="14"/>
        <v>225901.44</v>
      </c>
      <c r="M33" s="109"/>
      <c r="N33" s="107"/>
    </row>
    <row r="34" spans="1:16" ht="13.5" customHeight="1" x14ac:dyDescent="0.25">
      <c r="A34" s="63" t="s">
        <v>402</v>
      </c>
      <c r="B34" s="151" t="s">
        <v>433</v>
      </c>
      <c r="C34" s="111">
        <v>1</v>
      </c>
      <c r="D34" s="131">
        <f t="shared" si="6"/>
        <v>25100.16</v>
      </c>
      <c r="E34" s="131">
        <v>13073</v>
      </c>
      <c r="F34" s="131">
        <f t="shared" si="11"/>
        <v>2614.6000000000004</v>
      </c>
      <c r="G34" s="152"/>
      <c r="H34" s="132">
        <v>30</v>
      </c>
      <c r="I34" s="131">
        <f t="shared" si="12"/>
        <v>4706.28</v>
      </c>
      <c r="J34" s="132">
        <v>30</v>
      </c>
      <c r="K34" s="131">
        <f t="shared" si="13"/>
        <v>4706.28</v>
      </c>
      <c r="L34" s="131">
        <f t="shared" si="14"/>
        <v>301201.91999999998</v>
      </c>
      <c r="M34" s="109"/>
      <c r="N34" s="107"/>
    </row>
    <row r="35" spans="1:16" ht="26.3" customHeight="1" x14ac:dyDescent="0.25">
      <c r="A35" s="63" t="s">
        <v>400</v>
      </c>
      <c r="B35" s="151" t="s">
        <v>434</v>
      </c>
      <c r="C35" s="111">
        <v>0.75</v>
      </c>
      <c r="D35" s="131">
        <f t="shared" si="6"/>
        <v>25100.16</v>
      </c>
      <c r="E35" s="131">
        <v>13073</v>
      </c>
      <c r="F35" s="131">
        <f t="shared" si="11"/>
        <v>2614.6000000000004</v>
      </c>
      <c r="G35" s="152"/>
      <c r="H35" s="132">
        <v>30</v>
      </c>
      <c r="I35" s="131">
        <f t="shared" si="12"/>
        <v>4706.28</v>
      </c>
      <c r="J35" s="132">
        <v>30</v>
      </c>
      <c r="K35" s="131">
        <f t="shared" si="13"/>
        <v>4706.28</v>
      </c>
      <c r="L35" s="131">
        <f t="shared" si="14"/>
        <v>225901.44</v>
      </c>
      <c r="M35" s="109"/>
      <c r="N35" s="107"/>
      <c r="P35" s="108"/>
    </row>
    <row r="36" spans="1:16" ht="13.5" customHeight="1" x14ac:dyDescent="0.25">
      <c r="A36" s="63" t="s">
        <v>403</v>
      </c>
      <c r="B36" s="151" t="s">
        <v>435</v>
      </c>
      <c r="C36" s="111">
        <v>1</v>
      </c>
      <c r="D36" s="131">
        <f t="shared" si="6"/>
        <v>25100.16</v>
      </c>
      <c r="E36" s="131">
        <v>13073</v>
      </c>
      <c r="F36" s="131">
        <f t="shared" si="11"/>
        <v>2614.6000000000004</v>
      </c>
      <c r="G36" s="152"/>
      <c r="H36" s="132">
        <v>30</v>
      </c>
      <c r="I36" s="131">
        <f t="shared" si="12"/>
        <v>4706.28</v>
      </c>
      <c r="J36" s="132">
        <v>30</v>
      </c>
      <c r="K36" s="131">
        <f t="shared" si="13"/>
        <v>4706.28</v>
      </c>
      <c r="L36" s="131">
        <f t="shared" si="14"/>
        <v>301201.91999999998</v>
      </c>
      <c r="M36" s="109"/>
      <c r="N36" s="107"/>
    </row>
    <row r="37" spans="1:16" ht="14.25" customHeight="1" x14ac:dyDescent="0.25">
      <c r="A37" s="63" t="s">
        <v>399</v>
      </c>
      <c r="B37" s="151" t="s">
        <v>436</v>
      </c>
      <c r="C37" s="111">
        <v>1</v>
      </c>
      <c r="D37" s="131">
        <f t="shared" si="6"/>
        <v>25100.16</v>
      </c>
      <c r="E37" s="131">
        <v>13073</v>
      </c>
      <c r="F37" s="131">
        <f t="shared" si="11"/>
        <v>2614.6000000000004</v>
      </c>
      <c r="G37" s="152"/>
      <c r="H37" s="132">
        <v>30</v>
      </c>
      <c r="I37" s="131">
        <f t="shared" si="12"/>
        <v>4706.28</v>
      </c>
      <c r="J37" s="132">
        <v>30</v>
      </c>
      <c r="K37" s="131">
        <f t="shared" si="13"/>
        <v>4706.28</v>
      </c>
      <c r="L37" s="131">
        <f t="shared" si="14"/>
        <v>301201.91999999998</v>
      </c>
      <c r="M37" s="109"/>
      <c r="N37" s="107"/>
    </row>
    <row r="38" spans="1:16" ht="25.55" customHeight="1" x14ac:dyDescent="0.25">
      <c r="A38" s="64" t="s">
        <v>419</v>
      </c>
      <c r="B38" s="151" t="s">
        <v>437</v>
      </c>
      <c r="C38" s="111">
        <v>0.25</v>
      </c>
      <c r="D38" s="131">
        <f t="shared" si="6"/>
        <v>10741.119999999999</v>
      </c>
      <c r="E38" s="131">
        <v>5164</v>
      </c>
      <c r="F38" s="131">
        <f t="shared" si="11"/>
        <v>1032.8</v>
      </c>
      <c r="G38" s="174">
        <f>E38*0.1</f>
        <v>516.4</v>
      </c>
      <c r="H38" s="132">
        <v>30</v>
      </c>
      <c r="I38" s="131">
        <f t="shared" si="12"/>
        <v>2013.96</v>
      </c>
      <c r="J38" s="132">
        <v>30</v>
      </c>
      <c r="K38" s="131">
        <f t="shared" si="13"/>
        <v>2013.96</v>
      </c>
      <c r="L38" s="131">
        <f t="shared" si="14"/>
        <v>32223.359999999997</v>
      </c>
      <c r="M38" s="109"/>
      <c r="N38" s="107"/>
    </row>
    <row r="39" spans="1:16" ht="15.05" customHeight="1" x14ac:dyDescent="0.25">
      <c r="A39" s="64" t="s">
        <v>414</v>
      </c>
      <c r="B39" s="151" t="s">
        <v>438</v>
      </c>
      <c r="C39" s="111">
        <v>1</v>
      </c>
      <c r="D39" s="131">
        <f t="shared" si="6"/>
        <v>8906.56</v>
      </c>
      <c r="E39" s="131">
        <v>4282</v>
      </c>
      <c r="F39" s="131">
        <f t="shared" si="11"/>
        <v>856.40000000000009</v>
      </c>
      <c r="G39" s="174">
        <f>E39*0.1</f>
        <v>428.20000000000005</v>
      </c>
      <c r="H39" s="132">
        <v>30</v>
      </c>
      <c r="I39" s="131">
        <f t="shared" si="12"/>
        <v>1669.9799999999998</v>
      </c>
      <c r="J39" s="132">
        <v>30</v>
      </c>
      <c r="K39" s="131">
        <f t="shared" si="13"/>
        <v>1669.9799999999998</v>
      </c>
      <c r="L39" s="131">
        <f t="shared" si="14"/>
        <v>106878.72</v>
      </c>
      <c r="M39" s="109"/>
      <c r="N39" s="107"/>
    </row>
    <row r="40" spans="1:16" ht="15.05" customHeight="1" x14ac:dyDescent="0.25">
      <c r="A40" s="64" t="s">
        <v>420</v>
      </c>
      <c r="B40" s="151" t="s">
        <v>439</v>
      </c>
      <c r="C40" s="111">
        <v>1</v>
      </c>
      <c r="D40" s="131">
        <f t="shared" si="6"/>
        <v>8906.56</v>
      </c>
      <c r="E40" s="131">
        <v>4282</v>
      </c>
      <c r="F40" s="131">
        <f t="shared" si="11"/>
        <v>856.40000000000009</v>
      </c>
      <c r="G40" s="174">
        <f>E40*0.1</f>
        <v>428.20000000000005</v>
      </c>
      <c r="H40" s="132">
        <v>30</v>
      </c>
      <c r="I40" s="131">
        <f t="shared" si="12"/>
        <v>1669.9799999999998</v>
      </c>
      <c r="J40" s="132">
        <v>30</v>
      </c>
      <c r="K40" s="131">
        <f t="shared" si="13"/>
        <v>1669.9799999999998</v>
      </c>
      <c r="L40" s="131">
        <f t="shared" si="14"/>
        <v>106878.72</v>
      </c>
      <c r="M40" s="109"/>
      <c r="N40" s="107"/>
    </row>
    <row r="41" spans="1:16" ht="12.7" customHeight="1" x14ac:dyDescent="0.25">
      <c r="A41" s="64" t="s">
        <v>610</v>
      </c>
      <c r="B41" s="151" t="s">
        <v>440</v>
      </c>
      <c r="C41" s="111">
        <v>0.75</v>
      </c>
      <c r="D41" s="131">
        <f t="shared" si="6"/>
        <v>16323.839999999998</v>
      </c>
      <c r="E41" s="131">
        <v>8502</v>
      </c>
      <c r="F41" s="131">
        <f t="shared" si="11"/>
        <v>1700.4</v>
      </c>
      <c r="G41" s="152"/>
      <c r="H41" s="132">
        <v>30</v>
      </c>
      <c r="I41" s="131">
        <f t="shared" si="12"/>
        <v>3060.72</v>
      </c>
      <c r="J41" s="132">
        <v>30</v>
      </c>
      <c r="K41" s="131">
        <f t="shared" si="13"/>
        <v>3060.72</v>
      </c>
      <c r="L41" s="131">
        <f t="shared" si="14"/>
        <v>146914.56</v>
      </c>
      <c r="M41" s="109"/>
      <c r="N41" s="107"/>
    </row>
    <row r="42" spans="1:16" ht="13.5" customHeight="1" x14ac:dyDescent="0.25">
      <c r="A42" s="64" t="s">
        <v>417</v>
      </c>
      <c r="B42" s="151" t="s">
        <v>441</v>
      </c>
      <c r="C42" s="111">
        <v>0.75</v>
      </c>
      <c r="D42" s="131">
        <f t="shared" si="6"/>
        <v>16323.839999999998</v>
      </c>
      <c r="E42" s="131">
        <v>8502</v>
      </c>
      <c r="F42" s="131">
        <f t="shared" si="11"/>
        <v>1700.4</v>
      </c>
      <c r="G42" s="152"/>
      <c r="H42" s="132">
        <v>30</v>
      </c>
      <c r="I42" s="131">
        <f t="shared" si="12"/>
        <v>3060.72</v>
      </c>
      <c r="J42" s="132">
        <v>30</v>
      </c>
      <c r="K42" s="131">
        <f t="shared" si="13"/>
        <v>3060.72</v>
      </c>
      <c r="L42" s="131">
        <f t="shared" si="14"/>
        <v>146914.56</v>
      </c>
      <c r="M42" s="109"/>
      <c r="N42" s="107"/>
    </row>
    <row r="43" spans="1:16" ht="13.5" customHeight="1" x14ac:dyDescent="0.25">
      <c r="A43" s="64" t="s">
        <v>592</v>
      </c>
      <c r="B43" s="151" t="s">
        <v>425</v>
      </c>
      <c r="C43" s="111">
        <v>0.5</v>
      </c>
      <c r="D43" s="131">
        <f t="shared" si="6"/>
        <v>8103.68</v>
      </c>
      <c r="E43" s="131">
        <v>3896</v>
      </c>
      <c r="F43" s="131">
        <f t="shared" si="11"/>
        <v>779.2</v>
      </c>
      <c r="G43" s="174">
        <f>E43*0.1</f>
        <v>389.6</v>
      </c>
      <c r="H43" s="132">
        <v>30</v>
      </c>
      <c r="I43" s="131">
        <f t="shared" si="12"/>
        <v>1519.44</v>
      </c>
      <c r="J43" s="132">
        <v>30</v>
      </c>
      <c r="K43" s="131">
        <f t="shared" si="13"/>
        <v>1519.44</v>
      </c>
      <c r="L43" s="131">
        <f t="shared" si="14"/>
        <v>48622.080000000002</v>
      </c>
      <c r="M43" s="109"/>
      <c r="N43" s="107"/>
    </row>
    <row r="44" spans="1:16" ht="13.5" customHeight="1" x14ac:dyDescent="0.25">
      <c r="A44" s="63" t="s">
        <v>408</v>
      </c>
      <c r="B44" s="151" t="s">
        <v>442</v>
      </c>
      <c r="C44" s="111">
        <v>0.75</v>
      </c>
      <c r="D44" s="131">
        <f t="shared" si="6"/>
        <v>19224.96</v>
      </c>
      <c r="E44" s="131">
        <v>10013</v>
      </c>
      <c r="F44" s="131">
        <f t="shared" si="11"/>
        <v>2002.6000000000001</v>
      </c>
      <c r="G44" s="152"/>
      <c r="H44" s="132">
        <v>30</v>
      </c>
      <c r="I44" s="131">
        <f t="shared" si="12"/>
        <v>3604.68</v>
      </c>
      <c r="J44" s="132">
        <v>30</v>
      </c>
      <c r="K44" s="131">
        <f t="shared" si="13"/>
        <v>3604.68</v>
      </c>
      <c r="L44" s="131">
        <f t="shared" si="14"/>
        <v>173024.63999999998</v>
      </c>
      <c r="M44" s="109"/>
      <c r="N44" s="107"/>
    </row>
    <row r="45" spans="1:16" ht="14.25" customHeight="1" x14ac:dyDescent="0.25">
      <c r="A45" s="64" t="s">
        <v>418</v>
      </c>
      <c r="B45" s="151" t="s">
        <v>443</v>
      </c>
      <c r="C45" s="111">
        <v>0.5</v>
      </c>
      <c r="D45" s="131">
        <f t="shared" si="6"/>
        <v>19224.96</v>
      </c>
      <c r="E45" s="131">
        <v>10013</v>
      </c>
      <c r="F45" s="131">
        <f t="shared" si="11"/>
        <v>2002.6000000000001</v>
      </c>
      <c r="G45" s="152"/>
      <c r="H45" s="132">
        <v>30</v>
      </c>
      <c r="I45" s="131">
        <f t="shared" si="12"/>
        <v>3604.68</v>
      </c>
      <c r="J45" s="132">
        <v>30</v>
      </c>
      <c r="K45" s="131">
        <f t="shared" si="13"/>
        <v>3604.68</v>
      </c>
      <c r="L45" s="131">
        <f t="shared" si="14"/>
        <v>115349.75999999999</v>
      </c>
      <c r="M45" s="109"/>
      <c r="N45" s="107"/>
    </row>
    <row r="46" spans="1:16" ht="12.7" customHeight="1" x14ac:dyDescent="0.25">
      <c r="A46" s="63" t="s">
        <v>407</v>
      </c>
      <c r="B46" s="151" t="s">
        <v>444</v>
      </c>
      <c r="C46" s="111">
        <v>2.5</v>
      </c>
      <c r="D46" s="131">
        <f t="shared" si="6"/>
        <v>19224.96</v>
      </c>
      <c r="E46" s="131">
        <v>10013</v>
      </c>
      <c r="F46" s="131">
        <f t="shared" si="11"/>
        <v>2002.6000000000001</v>
      </c>
      <c r="G46" s="152"/>
      <c r="H46" s="132">
        <v>30</v>
      </c>
      <c r="I46" s="131">
        <f t="shared" si="12"/>
        <v>3604.68</v>
      </c>
      <c r="J46" s="132">
        <v>30</v>
      </c>
      <c r="K46" s="131">
        <f t="shared" si="13"/>
        <v>3604.68</v>
      </c>
      <c r="L46" s="131">
        <f t="shared" si="14"/>
        <v>576748.79999999993</v>
      </c>
      <c r="M46" s="109"/>
      <c r="N46" s="107"/>
    </row>
    <row r="47" spans="1:16" ht="15.05" customHeight="1" x14ac:dyDescent="0.25">
      <c r="A47" s="63" t="s">
        <v>638</v>
      </c>
      <c r="B47" s="151" t="s">
        <v>426</v>
      </c>
      <c r="C47" s="111">
        <v>0.5</v>
      </c>
      <c r="D47" s="149">
        <f t="shared" ref="D47" si="16">E47+F47+G47+I47+K47</f>
        <v>9914.880000000001</v>
      </c>
      <c r="E47" s="149">
        <v>5164</v>
      </c>
      <c r="F47" s="149">
        <f t="shared" ref="F47" si="17">E47*0.2</f>
        <v>1032.8</v>
      </c>
      <c r="G47" s="152"/>
      <c r="H47" s="150">
        <v>30</v>
      </c>
      <c r="I47" s="149">
        <f t="shared" ref="I47" si="18">(E47+F47+G47)*H47/100</f>
        <v>1859.04</v>
      </c>
      <c r="J47" s="150">
        <v>30</v>
      </c>
      <c r="K47" s="149">
        <f t="shared" ref="K47" si="19">(E47+F47+G47)*J47/100</f>
        <v>1859.04</v>
      </c>
      <c r="L47" s="149">
        <f t="shared" ref="L47" si="20">C47*D47*12</f>
        <v>59489.280000000006</v>
      </c>
      <c r="M47" s="109"/>
      <c r="N47" s="107"/>
    </row>
    <row r="48" spans="1:16" ht="14.25" customHeight="1" x14ac:dyDescent="0.25">
      <c r="A48" s="63" t="s">
        <v>404</v>
      </c>
      <c r="B48" s="151" t="s">
        <v>445</v>
      </c>
      <c r="C48" s="111">
        <v>0.75</v>
      </c>
      <c r="D48" s="131">
        <f>E48+F48+G48+I48+K48</f>
        <v>19224.96</v>
      </c>
      <c r="E48" s="131">
        <v>10013</v>
      </c>
      <c r="F48" s="131">
        <f>E48*0.2</f>
        <v>2002.6000000000001</v>
      </c>
      <c r="G48" s="152"/>
      <c r="H48" s="132">
        <v>30</v>
      </c>
      <c r="I48" s="131">
        <f>(E48+F48+G48)*H48/100</f>
        <v>3604.68</v>
      </c>
      <c r="J48" s="132">
        <v>30</v>
      </c>
      <c r="K48" s="131">
        <f>(E48+F48+G48)*J48/100</f>
        <v>3604.68</v>
      </c>
      <c r="L48" s="131">
        <f>C48*D48*12</f>
        <v>173024.63999999998</v>
      </c>
      <c r="M48" s="109"/>
      <c r="N48" s="107"/>
    </row>
    <row r="49" spans="1:14" ht="13.5" customHeight="1" x14ac:dyDescent="0.25">
      <c r="A49" s="63" t="s">
        <v>405</v>
      </c>
      <c r="B49" s="151" t="s">
        <v>446</v>
      </c>
      <c r="C49" s="111">
        <v>0.25</v>
      </c>
      <c r="D49" s="131">
        <f t="shared" ref="D49:D50" si="21">E49+F49+G49+I49+K49</f>
        <v>19224.96</v>
      </c>
      <c r="E49" s="131">
        <v>10013</v>
      </c>
      <c r="F49" s="131">
        <f t="shared" ref="F49:F50" si="22">E49*0.2</f>
        <v>2002.6000000000001</v>
      </c>
      <c r="G49" s="152"/>
      <c r="H49" s="132">
        <v>30</v>
      </c>
      <c r="I49" s="131">
        <f t="shared" ref="I49:I50" si="23">(E49+F49+G49)*H49/100</f>
        <v>3604.68</v>
      </c>
      <c r="J49" s="132">
        <v>30</v>
      </c>
      <c r="K49" s="131">
        <f t="shared" ref="K49:K50" si="24">(E49+F49+G49)*J49/100</f>
        <v>3604.68</v>
      </c>
      <c r="L49" s="131">
        <f t="shared" ref="L49:L50" si="25">C49*D49*12</f>
        <v>57674.879999999997</v>
      </c>
      <c r="M49" s="109"/>
      <c r="N49" s="107"/>
    </row>
    <row r="50" spans="1:14" ht="14.25" customHeight="1" x14ac:dyDescent="0.25">
      <c r="A50" s="63" t="s">
        <v>406</v>
      </c>
      <c r="B50" s="151" t="s">
        <v>447</v>
      </c>
      <c r="C50" s="111">
        <v>1</v>
      </c>
      <c r="D50" s="131">
        <f t="shared" si="21"/>
        <v>19224.96</v>
      </c>
      <c r="E50" s="131">
        <v>10013</v>
      </c>
      <c r="F50" s="131">
        <f t="shared" si="22"/>
        <v>2002.6000000000001</v>
      </c>
      <c r="G50" s="152"/>
      <c r="H50" s="132">
        <v>30</v>
      </c>
      <c r="I50" s="131">
        <f t="shared" si="23"/>
        <v>3604.68</v>
      </c>
      <c r="J50" s="132">
        <v>30</v>
      </c>
      <c r="K50" s="131">
        <f t="shared" si="24"/>
        <v>3604.68</v>
      </c>
      <c r="L50" s="131">
        <f t="shared" si="25"/>
        <v>230699.51999999999</v>
      </c>
      <c r="M50" s="109"/>
      <c r="N50" s="107"/>
    </row>
    <row r="51" spans="1:14" ht="14.25" customHeight="1" x14ac:dyDescent="0.25">
      <c r="A51" s="64" t="s">
        <v>421</v>
      </c>
      <c r="B51" s="151" t="s">
        <v>448</v>
      </c>
      <c r="C51" s="111">
        <v>1</v>
      </c>
      <c r="D51" s="131">
        <f>E51+F51+G51+I51+K51</f>
        <v>6741.12</v>
      </c>
      <c r="E51" s="131">
        <v>3511</v>
      </c>
      <c r="F51" s="131">
        <f>E51*0.2</f>
        <v>702.2</v>
      </c>
      <c r="G51" s="174"/>
      <c r="H51" s="132">
        <v>30</v>
      </c>
      <c r="I51" s="131">
        <f>(E51+F51+G51)*H51/100</f>
        <v>1263.96</v>
      </c>
      <c r="J51" s="132">
        <v>30</v>
      </c>
      <c r="K51" s="131">
        <f>(E51+F51+G51)*J51/100</f>
        <v>1263.96</v>
      </c>
      <c r="L51" s="131">
        <f>C51*D51*12</f>
        <v>80893.440000000002</v>
      </c>
      <c r="M51" s="109"/>
      <c r="N51" s="107"/>
    </row>
    <row r="52" spans="1:14" ht="13.5" customHeight="1" x14ac:dyDescent="0.25">
      <c r="A52" s="64" t="s">
        <v>413</v>
      </c>
      <c r="B52" s="151" t="s">
        <v>449</v>
      </c>
      <c r="C52" s="111">
        <v>2</v>
      </c>
      <c r="D52" s="131">
        <f>E52+F52+G52+I52+K52</f>
        <v>11399.039999999999</v>
      </c>
      <c r="E52" s="131">
        <v>5937</v>
      </c>
      <c r="F52" s="131">
        <f>E52*0.2</f>
        <v>1187.4000000000001</v>
      </c>
      <c r="G52" s="152"/>
      <c r="H52" s="132">
        <v>30</v>
      </c>
      <c r="I52" s="131">
        <f>(E52+F52+G52)*H52/100</f>
        <v>2137.3200000000002</v>
      </c>
      <c r="J52" s="132">
        <v>30</v>
      </c>
      <c r="K52" s="131">
        <f>(E52+F52+G52)*J52/100</f>
        <v>2137.3200000000002</v>
      </c>
      <c r="L52" s="131">
        <f>C52*D52*12</f>
        <v>273576.95999999996</v>
      </c>
      <c r="M52" s="109"/>
      <c r="N52" s="107"/>
    </row>
    <row r="53" spans="1:14" ht="13.5" customHeight="1" x14ac:dyDescent="0.25">
      <c r="A53" s="63" t="s">
        <v>423</v>
      </c>
      <c r="B53" s="151" t="s">
        <v>450</v>
      </c>
      <c r="C53" s="111">
        <v>5</v>
      </c>
      <c r="D53" s="149">
        <f t="shared" ref="D53" si="26">E53+F53+G53+I53+K53</f>
        <v>10112.64</v>
      </c>
      <c r="E53" s="149">
        <v>5267</v>
      </c>
      <c r="F53" s="149">
        <f t="shared" ref="F53" si="27">E53*0.2</f>
        <v>1053.4000000000001</v>
      </c>
      <c r="G53" s="152"/>
      <c r="H53" s="150">
        <v>30</v>
      </c>
      <c r="I53" s="149">
        <f t="shared" ref="I53" si="28">(E53+F53+G53)*H53/100</f>
        <v>1896.12</v>
      </c>
      <c r="J53" s="150">
        <v>30</v>
      </c>
      <c r="K53" s="149">
        <f t="shared" ref="K53" si="29">(E53+F53+G53)*J53/100</f>
        <v>1896.12</v>
      </c>
      <c r="L53" s="149">
        <f t="shared" ref="L53" si="30">C53*D53*12</f>
        <v>606758.39999999991</v>
      </c>
      <c r="M53" s="109"/>
      <c r="N53" s="107"/>
    </row>
    <row r="54" spans="1:14" ht="26.3" customHeight="1" x14ac:dyDescent="0.25">
      <c r="A54" s="63" t="s">
        <v>639</v>
      </c>
      <c r="B54" s="151" t="s">
        <v>451</v>
      </c>
      <c r="C54" s="111">
        <v>1.5</v>
      </c>
      <c r="D54" s="149">
        <f t="shared" ref="D54:D55" si="31">E54+F54+G54+I54+K54</f>
        <v>10112.64</v>
      </c>
      <c r="E54" s="149">
        <v>5267</v>
      </c>
      <c r="F54" s="149">
        <f t="shared" ref="F54:F55" si="32">E54*0.2</f>
        <v>1053.4000000000001</v>
      </c>
      <c r="G54" s="152"/>
      <c r="H54" s="150">
        <v>30</v>
      </c>
      <c r="I54" s="149">
        <f t="shared" ref="I54:I55" si="33">(E54+F54+G54)*H54/100</f>
        <v>1896.12</v>
      </c>
      <c r="J54" s="150">
        <v>30</v>
      </c>
      <c r="K54" s="149">
        <f t="shared" ref="K54:K55" si="34">(E54+F54+G54)*J54/100</f>
        <v>1896.12</v>
      </c>
      <c r="L54" s="149">
        <f t="shared" ref="L54:L55" si="35">C54*D54*12</f>
        <v>182027.51999999999</v>
      </c>
      <c r="M54" s="109"/>
      <c r="N54" s="107"/>
    </row>
    <row r="55" spans="1:14" ht="27.1" customHeight="1" x14ac:dyDescent="0.25">
      <c r="A55" s="63" t="s">
        <v>640</v>
      </c>
      <c r="B55" s="151" t="s">
        <v>452</v>
      </c>
      <c r="C55" s="111">
        <v>0.5</v>
      </c>
      <c r="D55" s="149">
        <f t="shared" si="31"/>
        <v>10759.84</v>
      </c>
      <c r="E55" s="149">
        <v>5173</v>
      </c>
      <c r="F55" s="149">
        <f t="shared" si="32"/>
        <v>1034.6000000000001</v>
      </c>
      <c r="G55" s="174">
        <f t="shared" ref="G55" si="36">E55*0.1</f>
        <v>517.30000000000007</v>
      </c>
      <c r="H55" s="150">
        <v>30</v>
      </c>
      <c r="I55" s="149">
        <f t="shared" si="33"/>
        <v>2017.4700000000003</v>
      </c>
      <c r="J55" s="150">
        <v>30</v>
      </c>
      <c r="K55" s="149">
        <f t="shared" si="34"/>
        <v>2017.4700000000003</v>
      </c>
      <c r="L55" s="149">
        <f t="shared" si="35"/>
        <v>64559.040000000001</v>
      </c>
      <c r="M55" s="109"/>
      <c r="N55" s="107"/>
    </row>
    <row r="56" spans="1:14" ht="14.25" customHeight="1" x14ac:dyDescent="0.25">
      <c r="A56" s="63" t="s">
        <v>415</v>
      </c>
      <c r="B56" s="151" t="s">
        <v>453</v>
      </c>
      <c r="C56" s="111">
        <v>8</v>
      </c>
      <c r="D56" s="131">
        <f>E56+F56+G56+I56+K56</f>
        <v>8686.08</v>
      </c>
      <c r="E56" s="131">
        <v>4524</v>
      </c>
      <c r="F56" s="131">
        <f>E56*0.2</f>
        <v>904.80000000000007</v>
      </c>
      <c r="G56" s="174"/>
      <c r="H56" s="132">
        <v>30</v>
      </c>
      <c r="I56" s="131">
        <f>(E56+F56+G56)*H56/100</f>
        <v>1628.64</v>
      </c>
      <c r="J56" s="132">
        <v>30</v>
      </c>
      <c r="K56" s="131">
        <f>(E56+F56+G56)*J56/100</f>
        <v>1628.64</v>
      </c>
      <c r="L56" s="131">
        <f>C56*D56*12</f>
        <v>833863.67999999993</v>
      </c>
      <c r="M56" s="109"/>
      <c r="N56" s="107"/>
    </row>
    <row r="57" spans="1:14" ht="14.25" customHeight="1" x14ac:dyDescent="0.25">
      <c r="A57" s="64" t="s">
        <v>411</v>
      </c>
      <c r="B57" s="151" t="s">
        <v>611</v>
      </c>
      <c r="C57" s="111">
        <v>1</v>
      </c>
      <c r="D57" s="131">
        <f t="shared" ref="D57:D61" si="37">E57+F57+G57+I57+K57</f>
        <v>9932.16</v>
      </c>
      <c r="E57" s="131">
        <v>5173</v>
      </c>
      <c r="F57" s="131">
        <f t="shared" ref="F57:F61" si="38">E57*0.2</f>
        <v>1034.6000000000001</v>
      </c>
      <c r="G57" s="174"/>
      <c r="H57" s="132">
        <v>30</v>
      </c>
      <c r="I57" s="131">
        <f t="shared" ref="I57:I64" si="39">(E57+F57+G57)*H57/100</f>
        <v>1862.28</v>
      </c>
      <c r="J57" s="132">
        <v>30</v>
      </c>
      <c r="K57" s="131">
        <f t="shared" ref="K57:K64" si="40">(E57+F57+G57)*J57/100</f>
        <v>1862.28</v>
      </c>
      <c r="L57" s="131">
        <f t="shared" ref="L57:L64" si="41">C57*D57*12</f>
        <v>119185.92</v>
      </c>
      <c r="M57" s="109"/>
      <c r="N57" s="107"/>
    </row>
    <row r="58" spans="1:14" ht="13.5" customHeight="1" x14ac:dyDescent="0.25">
      <c r="A58" s="64" t="s">
        <v>609</v>
      </c>
      <c r="B58" s="151" t="s">
        <v>612</v>
      </c>
      <c r="C58" s="111">
        <v>0.75</v>
      </c>
      <c r="D58" s="131">
        <f t="shared" si="37"/>
        <v>7480.32</v>
      </c>
      <c r="E58" s="131">
        <v>3896</v>
      </c>
      <c r="F58" s="131">
        <f t="shared" si="38"/>
        <v>779.2</v>
      </c>
      <c r="G58" s="174"/>
      <c r="H58" s="132">
        <v>30</v>
      </c>
      <c r="I58" s="131">
        <f t="shared" si="39"/>
        <v>1402.56</v>
      </c>
      <c r="J58" s="132">
        <v>30</v>
      </c>
      <c r="K58" s="131">
        <f t="shared" si="40"/>
        <v>1402.56</v>
      </c>
      <c r="L58" s="131">
        <f t="shared" si="41"/>
        <v>67322.880000000005</v>
      </c>
      <c r="M58" s="109"/>
      <c r="N58" s="107"/>
    </row>
    <row r="59" spans="1:14" ht="15.05" customHeight="1" x14ac:dyDescent="0.25">
      <c r="A59" s="64" t="s">
        <v>424</v>
      </c>
      <c r="B59" s="151" t="s">
        <v>613</v>
      </c>
      <c r="C59" s="111">
        <v>0.75</v>
      </c>
      <c r="D59" s="131">
        <f t="shared" si="37"/>
        <v>6741.12</v>
      </c>
      <c r="E59" s="131">
        <v>3511</v>
      </c>
      <c r="F59" s="131">
        <f t="shared" si="38"/>
        <v>702.2</v>
      </c>
      <c r="G59" s="174"/>
      <c r="H59" s="132">
        <v>30</v>
      </c>
      <c r="I59" s="131">
        <f t="shared" si="39"/>
        <v>1263.96</v>
      </c>
      <c r="J59" s="132">
        <v>30</v>
      </c>
      <c r="K59" s="131">
        <f t="shared" si="40"/>
        <v>1263.96</v>
      </c>
      <c r="L59" s="131">
        <f t="shared" si="41"/>
        <v>60670.080000000002</v>
      </c>
      <c r="M59" s="109"/>
      <c r="N59" s="107"/>
    </row>
    <row r="60" spans="1:14" ht="14.25" customHeight="1" x14ac:dyDescent="0.25">
      <c r="A60" s="64" t="s">
        <v>412</v>
      </c>
      <c r="B60" s="151" t="s">
        <v>614</v>
      </c>
      <c r="C60" s="111">
        <v>2</v>
      </c>
      <c r="D60" s="131">
        <f t="shared" si="37"/>
        <v>10149.95311776</v>
      </c>
      <c r="E60" s="131">
        <v>5094</v>
      </c>
      <c r="F60" s="131">
        <f t="shared" si="38"/>
        <v>1018.8000000000001</v>
      </c>
      <c r="G60" s="174">
        <f>E60*0.0453319</f>
        <v>230.92069860000001</v>
      </c>
      <c r="H60" s="132">
        <v>30</v>
      </c>
      <c r="I60" s="131">
        <f t="shared" si="39"/>
        <v>1903.11620958</v>
      </c>
      <c r="J60" s="132">
        <v>30</v>
      </c>
      <c r="K60" s="131">
        <f t="shared" si="40"/>
        <v>1903.11620958</v>
      </c>
      <c r="L60" s="131">
        <f t="shared" si="41"/>
        <v>243598.87482624</v>
      </c>
      <c r="M60" s="109"/>
      <c r="N60" s="107"/>
    </row>
    <row r="61" spans="1:14" ht="26.3" customHeight="1" x14ac:dyDescent="0.25">
      <c r="A61" s="64" t="s">
        <v>641</v>
      </c>
      <c r="B61" s="151" t="s">
        <v>615</v>
      </c>
      <c r="C61" s="111">
        <v>7.5</v>
      </c>
      <c r="D61" s="131">
        <f t="shared" si="37"/>
        <v>14261.76</v>
      </c>
      <c r="E61" s="131">
        <v>7428</v>
      </c>
      <c r="F61" s="131">
        <f t="shared" si="38"/>
        <v>1485.6000000000001</v>
      </c>
      <c r="G61" s="152"/>
      <c r="H61" s="132">
        <v>30</v>
      </c>
      <c r="I61" s="131">
        <f t="shared" si="39"/>
        <v>2674.08</v>
      </c>
      <c r="J61" s="132">
        <v>30</v>
      </c>
      <c r="K61" s="131">
        <f t="shared" si="40"/>
        <v>2674.08</v>
      </c>
      <c r="L61" s="131">
        <f t="shared" si="41"/>
        <v>1283558.3999999999</v>
      </c>
      <c r="M61" s="109"/>
      <c r="N61" s="107"/>
    </row>
    <row r="62" spans="1:14" ht="15.05" customHeight="1" x14ac:dyDescent="0.25">
      <c r="A62" s="64" t="s">
        <v>416</v>
      </c>
      <c r="B62" s="151" t="s">
        <v>616</v>
      </c>
      <c r="C62" s="111">
        <v>1</v>
      </c>
      <c r="D62" s="131">
        <v>0</v>
      </c>
      <c r="E62" s="131">
        <v>4524</v>
      </c>
      <c r="F62" s="131">
        <v>0</v>
      </c>
      <c r="G62" s="131"/>
      <c r="H62" s="132">
        <v>0</v>
      </c>
      <c r="I62" s="131">
        <f t="shared" si="39"/>
        <v>0</v>
      </c>
      <c r="J62" s="132">
        <v>0</v>
      </c>
      <c r="K62" s="131">
        <f t="shared" si="40"/>
        <v>0</v>
      </c>
      <c r="L62" s="131">
        <f t="shared" si="41"/>
        <v>0</v>
      </c>
      <c r="M62" s="109"/>
      <c r="N62" s="107"/>
    </row>
    <row r="63" spans="1:14" ht="27.1" customHeight="1" x14ac:dyDescent="0.25">
      <c r="A63" s="64" t="s">
        <v>642</v>
      </c>
      <c r="B63" s="151" t="s">
        <v>617</v>
      </c>
      <c r="C63" s="111">
        <v>0.42</v>
      </c>
      <c r="D63" s="131">
        <v>0</v>
      </c>
      <c r="E63" s="131">
        <v>4524</v>
      </c>
      <c r="F63" s="131">
        <v>0</v>
      </c>
      <c r="G63" s="131"/>
      <c r="H63" s="132">
        <v>0</v>
      </c>
      <c r="I63" s="131">
        <f t="shared" si="39"/>
        <v>0</v>
      </c>
      <c r="J63" s="132">
        <v>0</v>
      </c>
      <c r="K63" s="131">
        <f t="shared" si="40"/>
        <v>0</v>
      </c>
      <c r="L63" s="131">
        <f t="shared" si="41"/>
        <v>0</v>
      </c>
      <c r="M63" s="109"/>
      <c r="N63" s="107"/>
    </row>
    <row r="64" spans="1:14" ht="27.1" customHeight="1" x14ac:dyDescent="0.25">
      <c r="A64" s="64" t="s">
        <v>643</v>
      </c>
      <c r="B64" s="151" t="s">
        <v>618</v>
      </c>
      <c r="C64" s="111">
        <v>3</v>
      </c>
      <c r="D64" s="131">
        <v>0</v>
      </c>
      <c r="E64" s="131">
        <v>3511</v>
      </c>
      <c r="F64" s="131">
        <v>0</v>
      </c>
      <c r="G64" s="131"/>
      <c r="H64" s="132">
        <v>0</v>
      </c>
      <c r="I64" s="131">
        <f t="shared" si="39"/>
        <v>0</v>
      </c>
      <c r="J64" s="132">
        <v>0</v>
      </c>
      <c r="K64" s="131">
        <f t="shared" si="40"/>
        <v>0</v>
      </c>
      <c r="L64" s="131">
        <f t="shared" si="41"/>
        <v>0</v>
      </c>
      <c r="M64" s="109"/>
      <c r="N64" s="107"/>
    </row>
    <row r="65" spans="1:14" ht="27.1" customHeight="1" x14ac:dyDescent="0.25">
      <c r="A65" s="64" t="s">
        <v>644</v>
      </c>
      <c r="B65" s="151" t="s">
        <v>619</v>
      </c>
      <c r="C65" s="111">
        <v>0.83</v>
      </c>
      <c r="D65" s="149">
        <v>0</v>
      </c>
      <c r="E65" s="149">
        <v>5267</v>
      </c>
      <c r="F65" s="149">
        <v>0</v>
      </c>
      <c r="G65" s="149"/>
      <c r="H65" s="150">
        <v>0</v>
      </c>
      <c r="I65" s="149">
        <f t="shared" ref="I65" si="42">(E65+F65+G65)*H65/100</f>
        <v>0</v>
      </c>
      <c r="J65" s="150">
        <v>0</v>
      </c>
      <c r="K65" s="149">
        <f t="shared" ref="K65" si="43">(E65+F65+G65)*J65/100</f>
        <v>0</v>
      </c>
      <c r="L65" s="149">
        <f t="shared" ref="L65" si="44">C65*D65*12</f>
        <v>0</v>
      </c>
      <c r="M65" s="109"/>
      <c r="N65" s="107"/>
    </row>
    <row r="66" spans="1:14" ht="26.3" x14ac:dyDescent="0.25">
      <c r="A66" s="64" t="s">
        <v>697</v>
      </c>
      <c r="B66" s="233" t="s">
        <v>699</v>
      </c>
      <c r="C66" s="111"/>
      <c r="D66" s="232"/>
      <c r="E66" s="232"/>
      <c r="F66" s="232"/>
      <c r="G66" s="232"/>
      <c r="H66" s="233"/>
      <c r="I66" s="232"/>
      <c r="J66" s="233"/>
      <c r="K66" s="232"/>
      <c r="L66" s="232">
        <f>1501666</f>
        <v>1501666</v>
      </c>
      <c r="M66" s="109"/>
      <c r="N66" s="107"/>
    </row>
    <row r="67" spans="1:14" ht="26.3" x14ac:dyDescent="0.25">
      <c r="A67" s="64" t="s">
        <v>698</v>
      </c>
      <c r="B67" s="233" t="s">
        <v>700</v>
      </c>
      <c r="C67" s="111"/>
      <c r="D67" s="232"/>
      <c r="E67" s="232"/>
      <c r="F67" s="232"/>
      <c r="G67" s="232"/>
      <c r="H67" s="233"/>
      <c r="I67" s="232"/>
      <c r="J67" s="233"/>
      <c r="K67" s="232"/>
      <c r="L67" s="232">
        <v>-125000</v>
      </c>
      <c r="M67" s="109"/>
      <c r="N67" s="107"/>
    </row>
    <row r="68" spans="1:14" ht="17.25" customHeight="1" x14ac:dyDescent="0.25">
      <c r="A68" s="12" t="s">
        <v>121</v>
      </c>
      <c r="B68" s="12">
        <v>2110</v>
      </c>
      <c r="C68" s="145">
        <f>SUM(C25:C65)</f>
        <v>57.75</v>
      </c>
      <c r="D68" s="49" t="s">
        <v>1</v>
      </c>
      <c r="E68" s="49" t="s">
        <v>1</v>
      </c>
      <c r="F68" s="49" t="s">
        <v>1</v>
      </c>
      <c r="G68" s="49" t="s">
        <v>1</v>
      </c>
      <c r="H68" s="49" t="s">
        <v>1</v>
      </c>
      <c r="I68" s="49" t="s">
        <v>1</v>
      </c>
      <c r="J68" s="49" t="s">
        <v>1</v>
      </c>
      <c r="K68" s="49" t="s">
        <v>1</v>
      </c>
      <c r="L68" s="155">
        <f>SUM(L25:L67)</f>
        <v>10680163.998026239</v>
      </c>
      <c r="M68" s="122"/>
      <c r="N68" s="123"/>
    </row>
    <row r="69" spans="1:14" ht="13.15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116"/>
      <c r="N69" s="117"/>
    </row>
    <row r="70" spans="1:14" ht="13.15" x14ac:dyDescent="0.2">
      <c r="A70" s="272" t="s">
        <v>632</v>
      </c>
      <c r="B70" s="272"/>
      <c r="C70" s="272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</row>
    <row r="71" spans="1:14" ht="13.15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ht="13.15" x14ac:dyDescent="0.25">
      <c r="A72" s="245" t="s">
        <v>160</v>
      </c>
      <c r="B72" s="245" t="s">
        <v>11</v>
      </c>
      <c r="C72" s="245" t="s">
        <v>161</v>
      </c>
      <c r="D72" s="247" t="s">
        <v>162</v>
      </c>
      <c r="E72" s="247"/>
      <c r="F72" s="247"/>
      <c r="G72" s="247"/>
      <c r="H72" s="247"/>
      <c r="I72" s="247"/>
      <c r="J72" s="247"/>
      <c r="K72" s="247"/>
      <c r="L72" s="248" t="s">
        <v>163</v>
      </c>
      <c r="M72" s="23"/>
      <c r="N72" s="23"/>
    </row>
    <row r="73" spans="1:14" ht="13.15" x14ac:dyDescent="0.25">
      <c r="A73" s="245"/>
      <c r="B73" s="245"/>
      <c r="C73" s="245"/>
      <c r="D73" s="248" t="s">
        <v>379</v>
      </c>
      <c r="E73" s="247" t="s">
        <v>57</v>
      </c>
      <c r="F73" s="247"/>
      <c r="G73" s="247"/>
      <c r="H73" s="247"/>
      <c r="I73" s="247"/>
      <c r="J73" s="247"/>
      <c r="K73" s="247"/>
      <c r="L73" s="248"/>
      <c r="M73" s="23"/>
      <c r="N73" s="23"/>
    </row>
    <row r="74" spans="1:14" ht="23.95" customHeight="1" x14ac:dyDescent="0.25">
      <c r="A74" s="245"/>
      <c r="B74" s="245"/>
      <c r="C74" s="245"/>
      <c r="D74" s="248"/>
      <c r="E74" s="248" t="s">
        <v>164</v>
      </c>
      <c r="F74" s="248" t="s">
        <v>165</v>
      </c>
      <c r="G74" s="248" t="s">
        <v>166</v>
      </c>
      <c r="H74" s="245" t="s">
        <v>167</v>
      </c>
      <c r="I74" s="245"/>
      <c r="J74" s="245" t="s">
        <v>168</v>
      </c>
      <c r="K74" s="245"/>
      <c r="L74" s="248"/>
      <c r="M74" s="23"/>
      <c r="N74" s="23"/>
    </row>
    <row r="75" spans="1:14" ht="52.6" x14ac:dyDescent="0.25">
      <c r="A75" s="245"/>
      <c r="B75" s="245"/>
      <c r="C75" s="245"/>
      <c r="D75" s="248"/>
      <c r="E75" s="248"/>
      <c r="F75" s="248"/>
      <c r="G75" s="248"/>
      <c r="H75" s="11" t="s">
        <v>169</v>
      </c>
      <c r="I75" s="13" t="s">
        <v>170</v>
      </c>
      <c r="J75" s="11" t="s">
        <v>169</v>
      </c>
      <c r="K75" s="13" t="s">
        <v>171</v>
      </c>
      <c r="L75" s="248"/>
      <c r="M75" s="23"/>
      <c r="N75" s="23"/>
    </row>
    <row r="76" spans="1:14" ht="13.15" x14ac:dyDescent="0.25">
      <c r="A76" s="12" t="s">
        <v>19</v>
      </c>
      <c r="B76" s="12" t="s">
        <v>20</v>
      </c>
      <c r="C76" s="12" t="s">
        <v>21</v>
      </c>
      <c r="D76" s="12" t="s">
        <v>22</v>
      </c>
      <c r="E76" s="12" t="s">
        <v>23</v>
      </c>
      <c r="F76" s="12" t="s">
        <v>24</v>
      </c>
      <c r="G76" s="12" t="s">
        <v>25</v>
      </c>
      <c r="H76" s="12" t="s">
        <v>26</v>
      </c>
      <c r="I76" s="12" t="s">
        <v>27</v>
      </c>
      <c r="J76" s="12" t="s">
        <v>28</v>
      </c>
      <c r="K76" s="12" t="s">
        <v>29</v>
      </c>
      <c r="L76" s="12" t="s">
        <v>172</v>
      </c>
      <c r="M76" s="23"/>
      <c r="N76" s="23"/>
    </row>
    <row r="77" spans="1:14" ht="15.05" customHeight="1" x14ac:dyDescent="0.25">
      <c r="A77" s="63" t="s">
        <v>398</v>
      </c>
      <c r="B77" s="154" t="s">
        <v>31</v>
      </c>
      <c r="C77" s="111">
        <v>1</v>
      </c>
      <c r="D77" s="174">
        <f>E77+F77+G77+I77+K77</f>
        <v>36384.614399999999</v>
      </c>
      <c r="E77" s="174">
        <v>18950.32</v>
      </c>
      <c r="F77" s="174">
        <f>E77*0.2</f>
        <v>3790.0640000000003</v>
      </c>
      <c r="G77" s="174"/>
      <c r="H77" s="175">
        <v>30</v>
      </c>
      <c r="I77" s="174">
        <f>(E77+F77+G77)*H77/100</f>
        <v>6822.1151999999993</v>
      </c>
      <c r="J77" s="175">
        <v>30</v>
      </c>
      <c r="K77" s="174">
        <f>(E77+F77+G77)*J77/100</f>
        <v>6822.1151999999993</v>
      </c>
      <c r="L77" s="174">
        <f>C77*D77*12</f>
        <v>436615.37280000001</v>
      </c>
      <c r="M77" s="23"/>
      <c r="N77" s="23"/>
    </row>
    <row r="78" spans="1:14" ht="26.3" customHeight="1" x14ac:dyDescent="0.25">
      <c r="A78" s="63" t="s">
        <v>607</v>
      </c>
      <c r="B78" s="154" t="s">
        <v>33</v>
      </c>
      <c r="C78" s="111">
        <v>1</v>
      </c>
      <c r="D78" s="174">
        <f>E78+F78+G78+I78+K78</f>
        <v>29107.699200000006</v>
      </c>
      <c r="E78" s="174">
        <v>15160.26</v>
      </c>
      <c r="F78" s="174">
        <f>E78*0.2</f>
        <v>3032.0520000000001</v>
      </c>
      <c r="G78" s="174"/>
      <c r="H78" s="175">
        <v>30</v>
      </c>
      <c r="I78" s="174">
        <f>(E78+F78+G78)*H78/100</f>
        <v>5457.6936000000014</v>
      </c>
      <c r="J78" s="175">
        <v>30</v>
      </c>
      <c r="K78" s="174">
        <f>(E78+F78+G78)*J78/100</f>
        <v>5457.6936000000014</v>
      </c>
      <c r="L78" s="174">
        <f>C78*D78*12</f>
        <v>349292.39040000009</v>
      </c>
      <c r="M78" s="23"/>
      <c r="N78" s="23"/>
    </row>
    <row r="79" spans="1:14" ht="13.5" customHeight="1" x14ac:dyDescent="0.25">
      <c r="A79" s="63" t="s">
        <v>608</v>
      </c>
      <c r="B79" s="154" t="s">
        <v>380</v>
      </c>
      <c r="C79" s="111">
        <v>1</v>
      </c>
      <c r="D79" s="174">
        <f t="shared" ref="D79:D99" si="45">E79+F79+G79+I79+K79</f>
        <v>18772</v>
      </c>
      <c r="E79" s="174">
        <v>9025</v>
      </c>
      <c r="F79" s="174">
        <f t="shared" ref="F79:F99" si="46">E79*0.2</f>
        <v>1805</v>
      </c>
      <c r="G79" s="174">
        <f>E79*0.1</f>
        <v>902.5</v>
      </c>
      <c r="H79" s="175">
        <v>30</v>
      </c>
      <c r="I79" s="174">
        <f t="shared" ref="I79:I99" si="47">(E79+F79+G79)*H79/100</f>
        <v>3519.75</v>
      </c>
      <c r="J79" s="175">
        <v>30</v>
      </c>
      <c r="K79" s="174">
        <f t="shared" ref="K79:K99" si="48">(E79+F79+G79)*J79/100</f>
        <v>3519.75</v>
      </c>
      <c r="L79" s="174">
        <f t="shared" ref="L79:L99" si="49">C79*D79*12</f>
        <v>225264</v>
      </c>
      <c r="M79" s="23"/>
      <c r="N79" s="23"/>
    </row>
    <row r="80" spans="1:14" ht="15.85" customHeight="1" x14ac:dyDescent="0.25">
      <c r="A80" s="63" t="s">
        <v>636</v>
      </c>
      <c r="B80" s="154" t="s">
        <v>428</v>
      </c>
      <c r="C80" s="111">
        <v>1</v>
      </c>
      <c r="D80" s="174">
        <f t="shared" si="45"/>
        <v>25100.16</v>
      </c>
      <c r="E80" s="174">
        <v>13073</v>
      </c>
      <c r="F80" s="174">
        <f t="shared" si="46"/>
        <v>2614.6000000000004</v>
      </c>
      <c r="G80" s="174"/>
      <c r="H80" s="175">
        <v>30</v>
      </c>
      <c r="I80" s="174">
        <f t="shared" si="47"/>
        <v>4706.28</v>
      </c>
      <c r="J80" s="175">
        <v>30</v>
      </c>
      <c r="K80" s="174">
        <f t="shared" si="48"/>
        <v>4706.28</v>
      </c>
      <c r="L80" s="174">
        <f t="shared" si="49"/>
        <v>301201.91999999998</v>
      </c>
      <c r="M80" s="23"/>
      <c r="N80" s="23"/>
    </row>
    <row r="81" spans="1:14" ht="26.3" customHeight="1" x14ac:dyDescent="0.25">
      <c r="A81" s="64" t="s">
        <v>637</v>
      </c>
      <c r="B81" s="154" t="s">
        <v>427</v>
      </c>
      <c r="C81" s="111">
        <v>0.5</v>
      </c>
      <c r="D81" s="174">
        <f t="shared" si="45"/>
        <v>19224.96</v>
      </c>
      <c r="E81" s="174">
        <v>10013</v>
      </c>
      <c r="F81" s="174">
        <f t="shared" si="46"/>
        <v>2002.6000000000001</v>
      </c>
      <c r="G81" s="174"/>
      <c r="H81" s="175">
        <v>30</v>
      </c>
      <c r="I81" s="174">
        <f t="shared" si="47"/>
        <v>3604.68</v>
      </c>
      <c r="J81" s="175">
        <v>30</v>
      </c>
      <c r="K81" s="174">
        <f t="shared" si="48"/>
        <v>3604.68</v>
      </c>
      <c r="L81" s="174">
        <f t="shared" si="49"/>
        <v>115349.75999999999</v>
      </c>
      <c r="M81" s="23"/>
      <c r="N81" s="23"/>
    </row>
    <row r="82" spans="1:14" ht="12.7" customHeight="1" x14ac:dyDescent="0.25">
      <c r="A82" s="64" t="s">
        <v>410</v>
      </c>
      <c r="B82" s="154" t="s">
        <v>429</v>
      </c>
      <c r="C82" s="111">
        <v>1</v>
      </c>
      <c r="D82" s="174">
        <f t="shared" si="45"/>
        <v>15450.24</v>
      </c>
      <c r="E82" s="174">
        <v>7428</v>
      </c>
      <c r="F82" s="174">
        <f t="shared" si="46"/>
        <v>1485.6000000000001</v>
      </c>
      <c r="G82" s="174">
        <f t="shared" ref="G82:G83" si="50">E82*0.1</f>
        <v>742.80000000000007</v>
      </c>
      <c r="H82" s="175">
        <v>30</v>
      </c>
      <c r="I82" s="174">
        <f t="shared" si="47"/>
        <v>2896.92</v>
      </c>
      <c r="J82" s="175">
        <v>30</v>
      </c>
      <c r="K82" s="174">
        <f t="shared" si="48"/>
        <v>2896.92</v>
      </c>
      <c r="L82" s="174">
        <f t="shared" si="49"/>
        <v>185402.88</v>
      </c>
      <c r="M82" s="23"/>
      <c r="N82" s="23"/>
    </row>
    <row r="83" spans="1:14" ht="14.25" customHeight="1" x14ac:dyDescent="0.25">
      <c r="A83" s="63" t="s">
        <v>409</v>
      </c>
      <c r="B83" s="154" t="s">
        <v>430</v>
      </c>
      <c r="C83" s="111">
        <v>0.5</v>
      </c>
      <c r="D83" s="174">
        <f t="shared" si="45"/>
        <v>15450.24</v>
      </c>
      <c r="E83" s="174">
        <v>7428</v>
      </c>
      <c r="F83" s="174">
        <f t="shared" si="46"/>
        <v>1485.6000000000001</v>
      </c>
      <c r="G83" s="174">
        <f t="shared" si="50"/>
        <v>742.80000000000007</v>
      </c>
      <c r="H83" s="175">
        <v>30</v>
      </c>
      <c r="I83" s="174">
        <f t="shared" si="47"/>
        <v>2896.92</v>
      </c>
      <c r="J83" s="175">
        <v>30</v>
      </c>
      <c r="K83" s="174">
        <f t="shared" si="48"/>
        <v>2896.92</v>
      </c>
      <c r="L83" s="174">
        <f t="shared" si="49"/>
        <v>92701.440000000002</v>
      </c>
      <c r="M83" s="23"/>
      <c r="N83" s="23"/>
    </row>
    <row r="84" spans="1:14" ht="13.5" customHeight="1" x14ac:dyDescent="0.25">
      <c r="A84" s="63" t="s">
        <v>401</v>
      </c>
      <c r="B84" s="154" t="s">
        <v>431</v>
      </c>
      <c r="C84" s="111">
        <v>1.5</v>
      </c>
      <c r="D84" s="174">
        <f t="shared" si="45"/>
        <v>25100.16</v>
      </c>
      <c r="E84" s="174">
        <v>13073</v>
      </c>
      <c r="F84" s="174">
        <f t="shared" si="46"/>
        <v>2614.6000000000004</v>
      </c>
      <c r="G84" s="174"/>
      <c r="H84" s="175">
        <v>30</v>
      </c>
      <c r="I84" s="174">
        <f t="shared" si="47"/>
        <v>4706.28</v>
      </c>
      <c r="J84" s="175">
        <v>30</v>
      </c>
      <c r="K84" s="174">
        <f t="shared" si="48"/>
        <v>4706.28</v>
      </c>
      <c r="L84" s="174">
        <f t="shared" si="49"/>
        <v>451802.88</v>
      </c>
      <c r="M84" s="23"/>
      <c r="N84" s="23"/>
    </row>
    <row r="85" spans="1:14" ht="27.1" customHeight="1" x14ac:dyDescent="0.25">
      <c r="A85" s="63" t="s">
        <v>422</v>
      </c>
      <c r="B85" s="154" t="s">
        <v>432</v>
      </c>
      <c r="C85" s="111">
        <v>0.75</v>
      </c>
      <c r="D85" s="174">
        <f t="shared" si="45"/>
        <v>25100.16</v>
      </c>
      <c r="E85" s="174">
        <v>13073</v>
      </c>
      <c r="F85" s="174">
        <f t="shared" si="46"/>
        <v>2614.6000000000004</v>
      </c>
      <c r="G85" s="174"/>
      <c r="H85" s="175">
        <v>30</v>
      </c>
      <c r="I85" s="174">
        <f t="shared" si="47"/>
        <v>4706.28</v>
      </c>
      <c r="J85" s="175">
        <v>30</v>
      </c>
      <c r="K85" s="174">
        <f t="shared" si="48"/>
        <v>4706.28</v>
      </c>
      <c r="L85" s="174">
        <f t="shared" si="49"/>
        <v>225901.44</v>
      </c>
      <c r="M85" s="23"/>
      <c r="N85" s="23"/>
    </row>
    <row r="86" spans="1:14" ht="15.05" customHeight="1" x14ac:dyDescent="0.25">
      <c r="A86" s="63" t="s">
        <v>402</v>
      </c>
      <c r="B86" s="154" t="s">
        <v>433</v>
      </c>
      <c r="C86" s="111">
        <v>1</v>
      </c>
      <c r="D86" s="174">
        <f t="shared" si="45"/>
        <v>25100.16</v>
      </c>
      <c r="E86" s="174">
        <v>13073</v>
      </c>
      <c r="F86" s="174">
        <f t="shared" si="46"/>
        <v>2614.6000000000004</v>
      </c>
      <c r="G86" s="174"/>
      <c r="H86" s="175">
        <v>30</v>
      </c>
      <c r="I86" s="174">
        <f t="shared" si="47"/>
        <v>4706.28</v>
      </c>
      <c r="J86" s="175">
        <v>30</v>
      </c>
      <c r="K86" s="174">
        <f t="shared" si="48"/>
        <v>4706.28</v>
      </c>
      <c r="L86" s="174">
        <f t="shared" si="49"/>
        <v>301201.91999999998</v>
      </c>
      <c r="M86" s="23"/>
      <c r="N86" s="23"/>
    </row>
    <row r="87" spans="1:14" ht="27.1" customHeight="1" x14ac:dyDescent="0.25">
      <c r="A87" s="63" t="s">
        <v>400</v>
      </c>
      <c r="B87" s="154" t="s">
        <v>434</v>
      </c>
      <c r="C87" s="111">
        <v>0.75</v>
      </c>
      <c r="D87" s="174">
        <f t="shared" si="45"/>
        <v>25100.16</v>
      </c>
      <c r="E87" s="174">
        <v>13073</v>
      </c>
      <c r="F87" s="174">
        <f t="shared" si="46"/>
        <v>2614.6000000000004</v>
      </c>
      <c r="G87" s="174"/>
      <c r="H87" s="175">
        <v>30</v>
      </c>
      <c r="I87" s="174">
        <f t="shared" si="47"/>
        <v>4706.28</v>
      </c>
      <c r="J87" s="175">
        <v>30</v>
      </c>
      <c r="K87" s="174">
        <f t="shared" si="48"/>
        <v>4706.28</v>
      </c>
      <c r="L87" s="174">
        <f t="shared" si="49"/>
        <v>225901.44</v>
      </c>
      <c r="M87" s="23"/>
      <c r="N87" s="23"/>
    </row>
    <row r="88" spans="1:14" ht="14.25" customHeight="1" x14ac:dyDescent="0.25">
      <c r="A88" s="63" t="s">
        <v>403</v>
      </c>
      <c r="B88" s="154" t="s">
        <v>435</v>
      </c>
      <c r="C88" s="111">
        <v>1</v>
      </c>
      <c r="D88" s="174">
        <f t="shared" si="45"/>
        <v>25100.16</v>
      </c>
      <c r="E88" s="174">
        <v>13073</v>
      </c>
      <c r="F88" s="174">
        <f t="shared" si="46"/>
        <v>2614.6000000000004</v>
      </c>
      <c r="G88" s="174"/>
      <c r="H88" s="175">
        <v>30</v>
      </c>
      <c r="I88" s="174">
        <f t="shared" si="47"/>
        <v>4706.28</v>
      </c>
      <c r="J88" s="175">
        <v>30</v>
      </c>
      <c r="K88" s="174">
        <f t="shared" si="48"/>
        <v>4706.28</v>
      </c>
      <c r="L88" s="174">
        <f t="shared" si="49"/>
        <v>301201.91999999998</v>
      </c>
      <c r="M88" s="282"/>
      <c r="N88" s="283"/>
    </row>
    <row r="89" spans="1:14" ht="16.45" customHeight="1" x14ac:dyDescent="0.25">
      <c r="A89" s="63" t="s">
        <v>399</v>
      </c>
      <c r="B89" s="154" t="s">
        <v>436</v>
      </c>
      <c r="C89" s="111">
        <v>1</v>
      </c>
      <c r="D89" s="174">
        <f t="shared" si="45"/>
        <v>25100.16</v>
      </c>
      <c r="E89" s="174">
        <v>13073</v>
      </c>
      <c r="F89" s="174">
        <f t="shared" si="46"/>
        <v>2614.6000000000004</v>
      </c>
      <c r="G89" s="174"/>
      <c r="H89" s="175">
        <v>30</v>
      </c>
      <c r="I89" s="174">
        <f t="shared" si="47"/>
        <v>4706.28</v>
      </c>
      <c r="J89" s="175">
        <v>30</v>
      </c>
      <c r="K89" s="174">
        <f t="shared" si="48"/>
        <v>4706.28</v>
      </c>
      <c r="L89" s="174">
        <f t="shared" si="49"/>
        <v>301201.91999999998</v>
      </c>
      <c r="M89" s="23"/>
      <c r="N89" s="23"/>
    </row>
    <row r="90" spans="1:14" ht="27.1" customHeight="1" x14ac:dyDescent="0.25">
      <c r="A90" s="64" t="s">
        <v>419</v>
      </c>
      <c r="B90" s="154" t="s">
        <v>437</v>
      </c>
      <c r="C90" s="111">
        <v>0.25</v>
      </c>
      <c r="D90" s="174">
        <f t="shared" si="45"/>
        <v>10741.119999999999</v>
      </c>
      <c r="E90" s="174">
        <v>5164</v>
      </c>
      <c r="F90" s="174">
        <f t="shared" si="46"/>
        <v>1032.8</v>
      </c>
      <c r="G90" s="174">
        <f>E90*0.1</f>
        <v>516.4</v>
      </c>
      <c r="H90" s="175">
        <v>30</v>
      </c>
      <c r="I90" s="174">
        <f t="shared" si="47"/>
        <v>2013.96</v>
      </c>
      <c r="J90" s="175">
        <v>30</v>
      </c>
      <c r="K90" s="174">
        <f t="shared" si="48"/>
        <v>2013.96</v>
      </c>
      <c r="L90" s="174">
        <f t="shared" si="49"/>
        <v>32223.359999999997</v>
      </c>
      <c r="M90" s="23"/>
      <c r="N90" s="23"/>
    </row>
    <row r="91" spans="1:14" ht="14.25" customHeight="1" x14ac:dyDescent="0.25">
      <c r="A91" s="64" t="s">
        <v>414</v>
      </c>
      <c r="B91" s="154" t="s">
        <v>438</v>
      </c>
      <c r="C91" s="111">
        <v>1</v>
      </c>
      <c r="D91" s="174">
        <f t="shared" si="45"/>
        <v>8906.56</v>
      </c>
      <c r="E91" s="174">
        <v>4282</v>
      </c>
      <c r="F91" s="174">
        <f t="shared" si="46"/>
        <v>856.40000000000009</v>
      </c>
      <c r="G91" s="174">
        <f>E91*0.1</f>
        <v>428.20000000000005</v>
      </c>
      <c r="H91" s="175">
        <v>30</v>
      </c>
      <c r="I91" s="174">
        <f t="shared" si="47"/>
        <v>1669.9799999999998</v>
      </c>
      <c r="J91" s="175">
        <v>30</v>
      </c>
      <c r="K91" s="174">
        <f t="shared" si="48"/>
        <v>1669.9799999999998</v>
      </c>
      <c r="L91" s="174">
        <f t="shared" si="49"/>
        <v>106878.72</v>
      </c>
      <c r="M91" s="23"/>
      <c r="N91" s="23"/>
    </row>
    <row r="92" spans="1:14" ht="13.5" customHeight="1" x14ac:dyDescent="0.25">
      <c r="A92" s="64" t="s">
        <v>420</v>
      </c>
      <c r="B92" s="154" t="s">
        <v>439</v>
      </c>
      <c r="C92" s="111">
        <v>1</v>
      </c>
      <c r="D92" s="174">
        <f t="shared" si="45"/>
        <v>8906.56</v>
      </c>
      <c r="E92" s="174">
        <v>4282</v>
      </c>
      <c r="F92" s="174">
        <f t="shared" si="46"/>
        <v>856.40000000000009</v>
      </c>
      <c r="G92" s="174">
        <f>E92*0.1</f>
        <v>428.20000000000005</v>
      </c>
      <c r="H92" s="175">
        <v>30</v>
      </c>
      <c r="I92" s="174">
        <f t="shared" si="47"/>
        <v>1669.9799999999998</v>
      </c>
      <c r="J92" s="175">
        <v>30</v>
      </c>
      <c r="K92" s="174">
        <f t="shared" si="48"/>
        <v>1669.9799999999998</v>
      </c>
      <c r="L92" s="174">
        <f t="shared" si="49"/>
        <v>106878.72</v>
      </c>
      <c r="M92" s="23"/>
      <c r="N92" s="23"/>
    </row>
    <row r="93" spans="1:14" ht="13.5" customHeight="1" x14ac:dyDescent="0.25">
      <c r="A93" s="64" t="s">
        <v>610</v>
      </c>
      <c r="B93" s="154" t="s">
        <v>440</v>
      </c>
      <c r="C93" s="111">
        <v>0.75</v>
      </c>
      <c r="D93" s="174">
        <f t="shared" si="45"/>
        <v>16323.839999999998</v>
      </c>
      <c r="E93" s="174">
        <v>8502</v>
      </c>
      <c r="F93" s="174">
        <f t="shared" si="46"/>
        <v>1700.4</v>
      </c>
      <c r="G93" s="174"/>
      <c r="H93" s="175">
        <v>30</v>
      </c>
      <c r="I93" s="174">
        <f t="shared" si="47"/>
        <v>3060.72</v>
      </c>
      <c r="J93" s="175">
        <v>30</v>
      </c>
      <c r="K93" s="174">
        <f t="shared" si="48"/>
        <v>3060.72</v>
      </c>
      <c r="L93" s="174">
        <f t="shared" si="49"/>
        <v>146914.56</v>
      </c>
      <c r="M93" s="23"/>
      <c r="N93" s="23"/>
    </row>
    <row r="94" spans="1:14" ht="13.5" customHeight="1" x14ac:dyDescent="0.25">
      <c r="A94" s="64" t="s">
        <v>417</v>
      </c>
      <c r="B94" s="154" t="s">
        <v>441</v>
      </c>
      <c r="C94" s="111">
        <v>0.75</v>
      </c>
      <c r="D94" s="174">
        <f t="shared" si="45"/>
        <v>16323.839999999998</v>
      </c>
      <c r="E94" s="174">
        <v>8502</v>
      </c>
      <c r="F94" s="174">
        <f t="shared" si="46"/>
        <v>1700.4</v>
      </c>
      <c r="G94" s="174"/>
      <c r="H94" s="175">
        <v>30</v>
      </c>
      <c r="I94" s="174">
        <f t="shared" si="47"/>
        <v>3060.72</v>
      </c>
      <c r="J94" s="175">
        <v>30</v>
      </c>
      <c r="K94" s="174">
        <f t="shared" si="48"/>
        <v>3060.72</v>
      </c>
      <c r="L94" s="174">
        <f t="shared" si="49"/>
        <v>146914.56</v>
      </c>
      <c r="M94" s="23"/>
      <c r="N94" s="23"/>
    </row>
    <row r="95" spans="1:14" ht="15.05" customHeight="1" x14ac:dyDescent="0.25">
      <c r="A95" s="64" t="s">
        <v>592</v>
      </c>
      <c r="B95" s="154" t="s">
        <v>425</v>
      </c>
      <c r="C95" s="111">
        <v>0.5</v>
      </c>
      <c r="D95" s="174">
        <f t="shared" si="45"/>
        <v>8103.68</v>
      </c>
      <c r="E95" s="174">
        <v>3896</v>
      </c>
      <c r="F95" s="174">
        <f t="shared" si="46"/>
        <v>779.2</v>
      </c>
      <c r="G95" s="174">
        <f>E95*0.1</f>
        <v>389.6</v>
      </c>
      <c r="H95" s="175">
        <v>30</v>
      </c>
      <c r="I95" s="174">
        <f t="shared" si="47"/>
        <v>1519.44</v>
      </c>
      <c r="J95" s="175">
        <v>30</v>
      </c>
      <c r="K95" s="174">
        <f t="shared" si="48"/>
        <v>1519.44</v>
      </c>
      <c r="L95" s="174">
        <f t="shared" si="49"/>
        <v>48622.080000000002</v>
      </c>
      <c r="M95" s="23"/>
      <c r="N95" s="23"/>
    </row>
    <row r="96" spans="1:14" ht="15.05" customHeight="1" x14ac:dyDescent="0.25">
      <c r="A96" s="63" t="s">
        <v>408</v>
      </c>
      <c r="B96" s="154" t="s">
        <v>442</v>
      </c>
      <c r="C96" s="111">
        <v>0.75</v>
      </c>
      <c r="D96" s="174">
        <f t="shared" si="45"/>
        <v>19224.96</v>
      </c>
      <c r="E96" s="174">
        <v>10013</v>
      </c>
      <c r="F96" s="174">
        <f t="shared" si="46"/>
        <v>2002.6000000000001</v>
      </c>
      <c r="G96" s="174"/>
      <c r="H96" s="175">
        <v>30</v>
      </c>
      <c r="I96" s="174">
        <f t="shared" si="47"/>
        <v>3604.68</v>
      </c>
      <c r="J96" s="175">
        <v>30</v>
      </c>
      <c r="K96" s="174">
        <f t="shared" si="48"/>
        <v>3604.68</v>
      </c>
      <c r="L96" s="174">
        <f t="shared" si="49"/>
        <v>173024.63999999998</v>
      </c>
      <c r="M96" s="23"/>
      <c r="N96" s="23"/>
    </row>
    <row r="97" spans="1:14" ht="14.25" customHeight="1" x14ac:dyDescent="0.25">
      <c r="A97" s="64" t="s">
        <v>418</v>
      </c>
      <c r="B97" s="154" t="s">
        <v>443</v>
      </c>
      <c r="C97" s="111">
        <v>0.5</v>
      </c>
      <c r="D97" s="174">
        <f t="shared" si="45"/>
        <v>19224.96</v>
      </c>
      <c r="E97" s="174">
        <v>10013</v>
      </c>
      <c r="F97" s="174">
        <f t="shared" si="46"/>
        <v>2002.6000000000001</v>
      </c>
      <c r="G97" s="174"/>
      <c r="H97" s="175">
        <v>30</v>
      </c>
      <c r="I97" s="174">
        <f t="shared" si="47"/>
        <v>3604.68</v>
      </c>
      <c r="J97" s="175">
        <v>30</v>
      </c>
      <c r="K97" s="174">
        <f t="shared" si="48"/>
        <v>3604.68</v>
      </c>
      <c r="L97" s="174">
        <f t="shared" si="49"/>
        <v>115349.75999999999</v>
      </c>
      <c r="M97" s="23"/>
      <c r="N97" s="23"/>
    </row>
    <row r="98" spans="1:14" ht="13.5" customHeight="1" x14ac:dyDescent="0.25">
      <c r="A98" s="63" t="s">
        <v>407</v>
      </c>
      <c r="B98" s="154" t="s">
        <v>444</v>
      </c>
      <c r="C98" s="111">
        <v>2.5</v>
      </c>
      <c r="D98" s="174">
        <f t="shared" si="45"/>
        <v>19224.96</v>
      </c>
      <c r="E98" s="174">
        <v>10013</v>
      </c>
      <c r="F98" s="174">
        <f t="shared" si="46"/>
        <v>2002.6000000000001</v>
      </c>
      <c r="G98" s="174"/>
      <c r="H98" s="175">
        <v>30</v>
      </c>
      <c r="I98" s="174">
        <f t="shared" si="47"/>
        <v>3604.68</v>
      </c>
      <c r="J98" s="175">
        <v>30</v>
      </c>
      <c r="K98" s="174">
        <f t="shared" si="48"/>
        <v>3604.68</v>
      </c>
      <c r="L98" s="174">
        <f t="shared" si="49"/>
        <v>576748.79999999993</v>
      </c>
      <c r="M98" s="23"/>
      <c r="N98" s="23"/>
    </row>
    <row r="99" spans="1:14" ht="14.25" customHeight="1" x14ac:dyDescent="0.25">
      <c r="A99" s="63" t="s">
        <v>638</v>
      </c>
      <c r="B99" s="154" t="s">
        <v>426</v>
      </c>
      <c r="C99" s="111">
        <v>0.5</v>
      </c>
      <c r="D99" s="174">
        <f t="shared" si="45"/>
        <v>9914.880000000001</v>
      </c>
      <c r="E99" s="174">
        <v>5164</v>
      </c>
      <c r="F99" s="174">
        <f t="shared" si="46"/>
        <v>1032.8</v>
      </c>
      <c r="G99" s="174"/>
      <c r="H99" s="175">
        <v>30</v>
      </c>
      <c r="I99" s="174">
        <f t="shared" si="47"/>
        <v>1859.04</v>
      </c>
      <c r="J99" s="175">
        <v>30</v>
      </c>
      <c r="K99" s="174">
        <f t="shared" si="48"/>
        <v>1859.04</v>
      </c>
      <c r="L99" s="174">
        <f t="shared" si="49"/>
        <v>59489.280000000006</v>
      </c>
      <c r="M99" s="23"/>
      <c r="N99" s="23"/>
    </row>
    <row r="100" spans="1:14" ht="14.25" customHeight="1" x14ac:dyDescent="0.25">
      <c r="A100" s="63" t="s">
        <v>404</v>
      </c>
      <c r="B100" s="154" t="s">
        <v>445</v>
      </c>
      <c r="C100" s="111">
        <v>0.75</v>
      </c>
      <c r="D100" s="174">
        <f>E100+F100+G100+I100+K100</f>
        <v>19224.96</v>
      </c>
      <c r="E100" s="174">
        <v>10013</v>
      </c>
      <c r="F100" s="174">
        <f>E100*0.2</f>
        <v>2002.6000000000001</v>
      </c>
      <c r="G100" s="174"/>
      <c r="H100" s="175">
        <v>30</v>
      </c>
      <c r="I100" s="174">
        <f>(E100+F100+G100)*H100/100</f>
        <v>3604.68</v>
      </c>
      <c r="J100" s="175">
        <v>30</v>
      </c>
      <c r="K100" s="174">
        <f>(E100+F100+G100)*J100/100</f>
        <v>3604.68</v>
      </c>
      <c r="L100" s="174">
        <f>C100*D100*12</f>
        <v>173024.63999999998</v>
      </c>
      <c r="M100" s="23"/>
      <c r="N100" s="23"/>
    </row>
    <row r="101" spans="1:14" ht="14.25" customHeight="1" x14ac:dyDescent="0.25">
      <c r="A101" s="63" t="s">
        <v>405</v>
      </c>
      <c r="B101" s="154" t="s">
        <v>446</v>
      </c>
      <c r="C101" s="111">
        <v>0.25</v>
      </c>
      <c r="D101" s="174">
        <f t="shared" ref="D101:D102" si="51">E101+F101+G101+I101+K101</f>
        <v>19224.96</v>
      </c>
      <c r="E101" s="174">
        <v>10013</v>
      </c>
      <c r="F101" s="174">
        <f t="shared" ref="F101:F102" si="52">E101*0.2</f>
        <v>2002.6000000000001</v>
      </c>
      <c r="G101" s="174"/>
      <c r="H101" s="175">
        <v>30</v>
      </c>
      <c r="I101" s="174">
        <f t="shared" ref="I101:I102" si="53">(E101+F101+G101)*H101/100</f>
        <v>3604.68</v>
      </c>
      <c r="J101" s="175">
        <v>30</v>
      </c>
      <c r="K101" s="174">
        <f t="shared" ref="K101:K102" si="54">(E101+F101+G101)*J101/100</f>
        <v>3604.68</v>
      </c>
      <c r="L101" s="174">
        <f t="shared" ref="L101:L102" si="55">C101*D101*12</f>
        <v>57674.879999999997</v>
      </c>
      <c r="M101" s="23"/>
      <c r="N101" s="23"/>
    </row>
    <row r="102" spans="1:14" ht="13.5" customHeight="1" x14ac:dyDescent="0.25">
      <c r="A102" s="63" t="s">
        <v>406</v>
      </c>
      <c r="B102" s="154" t="s">
        <v>447</v>
      </c>
      <c r="C102" s="111">
        <v>1</v>
      </c>
      <c r="D102" s="174">
        <f t="shared" si="51"/>
        <v>19224.96</v>
      </c>
      <c r="E102" s="174">
        <v>10013</v>
      </c>
      <c r="F102" s="174">
        <f t="shared" si="52"/>
        <v>2002.6000000000001</v>
      </c>
      <c r="G102" s="174"/>
      <c r="H102" s="175">
        <v>30</v>
      </c>
      <c r="I102" s="174">
        <f t="shared" si="53"/>
        <v>3604.68</v>
      </c>
      <c r="J102" s="175">
        <v>30</v>
      </c>
      <c r="K102" s="174">
        <f t="shared" si="54"/>
        <v>3604.68</v>
      </c>
      <c r="L102" s="174">
        <f t="shared" si="55"/>
        <v>230699.51999999999</v>
      </c>
      <c r="M102" s="23"/>
      <c r="N102" s="23"/>
    </row>
    <row r="103" spans="1:14" ht="14.25" customHeight="1" x14ac:dyDescent="0.25">
      <c r="A103" s="64" t="s">
        <v>421</v>
      </c>
      <c r="B103" s="154" t="s">
        <v>448</v>
      </c>
      <c r="C103" s="111">
        <v>1</v>
      </c>
      <c r="D103" s="174">
        <f>E103+F103+G103+I103+K103</f>
        <v>6741.12</v>
      </c>
      <c r="E103" s="174">
        <v>3511</v>
      </c>
      <c r="F103" s="174">
        <f>E103*0.2</f>
        <v>702.2</v>
      </c>
      <c r="G103" s="174"/>
      <c r="H103" s="175">
        <v>30</v>
      </c>
      <c r="I103" s="174">
        <f>(E103+F103+G103)*H103/100</f>
        <v>1263.96</v>
      </c>
      <c r="J103" s="175">
        <v>30</v>
      </c>
      <c r="K103" s="174">
        <f>(E103+F103+G103)*J103/100</f>
        <v>1263.96</v>
      </c>
      <c r="L103" s="174">
        <f>C103*D103*12</f>
        <v>80893.440000000002</v>
      </c>
      <c r="M103" s="23"/>
      <c r="N103" s="23"/>
    </row>
    <row r="104" spans="1:14" ht="13.5" customHeight="1" x14ac:dyDescent="0.25">
      <c r="A104" s="64" t="s">
        <v>413</v>
      </c>
      <c r="B104" s="154" t="s">
        <v>449</v>
      </c>
      <c r="C104" s="111">
        <v>2</v>
      </c>
      <c r="D104" s="174">
        <f>E104+F104+G104+I104+K104</f>
        <v>11399.039999999999</v>
      </c>
      <c r="E104" s="174">
        <v>5937</v>
      </c>
      <c r="F104" s="174">
        <f>E104*0.2</f>
        <v>1187.4000000000001</v>
      </c>
      <c r="G104" s="174"/>
      <c r="H104" s="175">
        <v>30</v>
      </c>
      <c r="I104" s="174">
        <f>(E104+F104+G104)*H104/100</f>
        <v>2137.3200000000002</v>
      </c>
      <c r="J104" s="175">
        <v>30</v>
      </c>
      <c r="K104" s="174">
        <f>(E104+F104+G104)*J104/100</f>
        <v>2137.3200000000002</v>
      </c>
      <c r="L104" s="174">
        <f>C104*D104*12</f>
        <v>273576.95999999996</v>
      </c>
      <c r="M104" s="23"/>
      <c r="N104" s="23"/>
    </row>
    <row r="105" spans="1:14" ht="12.7" customHeight="1" x14ac:dyDescent="0.25">
      <c r="A105" s="63" t="s">
        <v>423</v>
      </c>
      <c r="B105" s="154" t="s">
        <v>450</v>
      </c>
      <c r="C105" s="111">
        <v>5</v>
      </c>
      <c r="D105" s="174">
        <f t="shared" ref="D105:D107" si="56">E105+F105+G105+I105+K105</f>
        <v>10112.64</v>
      </c>
      <c r="E105" s="174">
        <v>5267</v>
      </c>
      <c r="F105" s="174">
        <f t="shared" ref="F105:F107" si="57">E105*0.2</f>
        <v>1053.4000000000001</v>
      </c>
      <c r="G105" s="174"/>
      <c r="H105" s="175">
        <v>30</v>
      </c>
      <c r="I105" s="174">
        <f t="shared" ref="I105:I107" si="58">(E105+F105+G105)*H105/100</f>
        <v>1896.12</v>
      </c>
      <c r="J105" s="175">
        <v>30</v>
      </c>
      <c r="K105" s="174">
        <f t="shared" ref="K105:K107" si="59">(E105+F105+G105)*J105/100</f>
        <v>1896.12</v>
      </c>
      <c r="L105" s="174">
        <f t="shared" ref="L105:L107" si="60">C105*D105*12</f>
        <v>606758.39999999991</v>
      </c>
      <c r="M105" s="23"/>
      <c r="N105" s="23"/>
    </row>
    <row r="106" spans="1:14" ht="26.3" customHeight="1" x14ac:dyDescent="0.25">
      <c r="A106" s="63" t="s">
        <v>639</v>
      </c>
      <c r="B106" s="154" t="s">
        <v>451</v>
      </c>
      <c r="C106" s="111">
        <v>1.5</v>
      </c>
      <c r="D106" s="174">
        <f t="shared" si="56"/>
        <v>10112.64</v>
      </c>
      <c r="E106" s="174">
        <v>5267</v>
      </c>
      <c r="F106" s="174">
        <f t="shared" si="57"/>
        <v>1053.4000000000001</v>
      </c>
      <c r="G106" s="174"/>
      <c r="H106" s="175">
        <v>30</v>
      </c>
      <c r="I106" s="174">
        <f t="shared" si="58"/>
        <v>1896.12</v>
      </c>
      <c r="J106" s="175">
        <v>30</v>
      </c>
      <c r="K106" s="174">
        <f t="shared" si="59"/>
        <v>1896.12</v>
      </c>
      <c r="L106" s="174">
        <f t="shared" si="60"/>
        <v>182027.51999999999</v>
      </c>
      <c r="M106" s="23"/>
      <c r="N106" s="23"/>
    </row>
    <row r="107" spans="1:14" ht="26.3" x14ac:dyDescent="0.25">
      <c r="A107" s="63" t="s">
        <v>640</v>
      </c>
      <c r="B107" s="154" t="s">
        <v>452</v>
      </c>
      <c r="C107" s="111">
        <v>0.5</v>
      </c>
      <c r="D107" s="174">
        <f t="shared" si="56"/>
        <v>10759.84</v>
      </c>
      <c r="E107" s="174">
        <v>5173</v>
      </c>
      <c r="F107" s="174">
        <f t="shared" si="57"/>
        <v>1034.6000000000001</v>
      </c>
      <c r="G107" s="174">
        <f t="shared" ref="G107" si="61">E107*0.1</f>
        <v>517.30000000000007</v>
      </c>
      <c r="H107" s="175">
        <v>30</v>
      </c>
      <c r="I107" s="174">
        <f t="shared" si="58"/>
        <v>2017.4700000000003</v>
      </c>
      <c r="J107" s="175">
        <v>30</v>
      </c>
      <c r="K107" s="174">
        <f t="shared" si="59"/>
        <v>2017.4700000000003</v>
      </c>
      <c r="L107" s="174">
        <f t="shared" si="60"/>
        <v>64559.040000000001</v>
      </c>
      <c r="M107" s="23"/>
      <c r="N107" s="23"/>
    </row>
    <row r="108" spans="1:14" ht="15.05" customHeight="1" x14ac:dyDescent="0.25">
      <c r="A108" s="63" t="s">
        <v>415</v>
      </c>
      <c r="B108" s="154" t="s">
        <v>453</v>
      </c>
      <c r="C108" s="111">
        <v>8</v>
      </c>
      <c r="D108" s="174">
        <f>E108+F108+G108+I108+K108</f>
        <v>8686.08</v>
      </c>
      <c r="E108" s="174">
        <v>4524</v>
      </c>
      <c r="F108" s="174">
        <f>E108*0.2</f>
        <v>904.80000000000007</v>
      </c>
      <c r="G108" s="174"/>
      <c r="H108" s="175">
        <v>30</v>
      </c>
      <c r="I108" s="174">
        <f>(E108+F108+G108)*H108/100</f>
        <v>1628.64</v>
      </c>
      <c r="J108" s="175">
        <v>30</v>
      </c>
      <c r="K108" s="174">
        <f>(E108+F108+G108)*J108/100</f>
        <v>1628.64</v>
      </c>
      <c r="L108" s="174">
        <f>C108*D108*12</f>
        <v>833863.67999999993</v>
      </c>
      <c r="M108" s="23"/>
      <c r="N108" s="23"/>
    </row>
    <row r="109" spans="1:14" ht="15.05" customHeight="1" x14ac:dyDescent="0.25">
      <c r="A109" s="64" t="s">
        <v>411</v>
      </c>
      <c r="B109" s="154" t="s">
        <v>611</v>
      </c>
      <c r="C109" s="111">
        <v>1</v>
      </c>
      <c r="D109" s="174">
        <f t="shared" ref="D109:D113" si="62">E109+F109+G109+I109+K109</f>
        <v>9932.16</v>
      </c>
      <c r="E109" s="174">
        <v>5173</v>
      </c>
      <c r="F109" s="174">
        <f t="shared" ref="F109:F113" si="63">E109*0.2</f>
        <v>1034.6000000000001</v>
      </c>
      <c r="G109" s="174"/>
      <c r="H109" s="175">
        <v>30</v>
      </c>
      <c r="I109" s="174">
        <f t="shared" ref="I109:I117" si="64">(E109+F109+G109)*H109/100</f>
        <v>1862.28</v>
      </c>
      <c r="J109" s="175">
        <v>30</v>
      </c>
      <c r="K109" s="174">
        <f t="shared" ref="K109:K117" si="65">(E109+F109+G109)*J109/100</f>
        <v>1862.28</v>
      </c>
      <c r="L109" s="174">
        <f t="shared" ref="L109:L117" si="66">C109*D109*12</f>
        <v>119185.92</v>
      </c>
      <c r="M109" s="23"/>
      <c r="N109" s="23"/>
    </row>
    <row r="110" spans="1:14" ht="15.05" customHeight="1" x14ac:dyDescent="0.25">
      <c r="A110" s="64" t="s">
        <v>609</v>
      </c>
      <c r="B110" s="154" t="s">
        <v>612</v>
      </c>
      <c r="C110" s="111">
        <v>0.75</v>
      </c>
      <c r="D110" s="174">
        <f t="shared" si="62"/>
        <v>7480.32</v>
      </c>
      <c r="E110" s="174">
        <v>3896</v>
      </c>
      <c r="F110" s="174">
        <f t="shared" si="63"/>
        <v>779.2</v>
      </c>
      <c r="G110" s="174"/>
      <c r="H110" s="175">
        <v>30</v>
      </c>
      <c r="I110" s="174">
        <f t="shared" si="64"/>
        <v>1402.56</v>
      </c>
      <c r="J110" s="175">
        <v>30</v>
      </c>
      <c r="K110" s="174">
        <f t="shared" si="65"/>
        <v>1402.56</v>
      </c>
      <c r="L110" s="174">
        <f t="shared" si="66"/>
        <v>67322.880000000005</v>
      </c>
      <c r="M110" s="23"/>
      <c r="N110" s="23"/>
    </row>
    <row r="111" spans="1:14" ht="14.25" customHeight="1" x14ac:dyDescent="0.25">
      <c r="A111" s="64" t="s">
        <v>424</v>
      </c>
      <c r="B111" s="154" t="s">
        <v>613</v>
      </c>
      <c r="C111" s="111">
        <v>0.75</v>
      </c>
      <c r="D111" s="174">
        <f t="shared" si="62"/>
        <v>6741.12</v>
      </c>
      <c r="E111" s="174">
        <v>3511</v>
      </c>
      <c r="F111" s="174">
        <f t="shared" si="63"/>
        <v>702.2</v>
      </c>
      <c r="G111" s="174"/>
      <c r="H111" s="175">
        <v>30</v>
      </c>
      <c r="I111" s="174">
        <f t="shared" si="64"/>
        <v>1263.96</v>
      </c>
      <c r="J111" s="175">
        <v>30</v>
      </c>
      <c r="K111" s="174">
        <f t="shared" si="65"/>
        <v>1263.96</v>
      </c>
      <c r="L111" s="174">
        <f t="shared" si="66"/>
        <v>60670.080000000002</v>
      </c>
      <c r="M111" s="23"/>
      <c r="N111" s="23"/>
    </row>
    <row r="112" spans="1:14" ht="14.25" customHeight="1" x14ac:dyDescent="0.25">
      <c r="A112" s="64" t="s">
        <v>412</v>
      </c>
      <c r="B112" s="154" t="s">
        <v>614</v>
      </c>
      <c r="C112" s="111">
        <v>2</v>
      </c>
      <c r="D112" s="174">
        <f t="shared" si="62"/>
        <v>10149.95311776</v>
      </c>
      <c r="E112" s="174">
        <v>5094</v>
      </c>
      <c r="F112" s="174">
        <f t="shared" si="63"/>
        <v>1018.8000000000001</v>
      </c>
      <c r="G112" s="174">
        <f>E112*0.0453319</f>
        <v>230.92069860000001</v>
      </c>
      <c r="H112" s="175">
        <v>30</v>
      </c>
      <c r="I112" s="174">
        <f t="shared" si="64"/>
        <v>1903.11620958</v>
      </c>
      <c r="J112" s="175">
        <v>30</v>
      </c>
      <c r="K112" s="174">
        <f t="shared" si="65"/>
        <v>1903.11620958</v>
      </c>
      <c r="L112" s="174">
        <f t="shared" si="66"/>
        <v>243598.87482624</v>
      </c>
      <c r="M112" s="23"/>
      <c r="N112" s="23"/>
    </row>
    <row r="113" spans="1:14" ht="27.1" customHeight="1" x14ac:dyDescent="0.25">
      <c r="A113" s="64" t="s">
        <v>641</v>
      </c>
      <c r="B113" s="154" t="s">
        <v>615</v>
      </c>
      <c r="C113" s="111">
        <v>7.5</v>
      </c>
      <c r="D113" s="174">
        <f t="shared" si="62"/>
        <v>14261.76</v>
      </c>
      <c r="E113" s="174">
        <v>7428</v>
      </c>
      <c r="F113" s="174">
        <f t="shared" si="63"/>
        <v>1485.6000000000001</v>
      </c>
      <c r="G113" s="174"/>
      <c r="H113" s="175">
        <v>30</v>
      </c>
      <c r="I113" s="174">
        <f t="shared" si="64"/>
        <v>2674.08</v>
      </c>
      <c r="J113" s="175">
        <v>30</v>
      </c>
      <c r="K113" s="174">
        <f t="shared" si="65"/>
        <v>2674.08</v>
      </c>
      <c r="L113" s="174">
        <f t="shared" si="66"/>
        <v>1283558.3999999999</v>
      </c>
      <c r="M113" s="23"/>
      <c r="N113" s="23"/>
    </row>
    <row r="114" spans="1:14" ht="14.25" customHeight="1" x14ac:dyDescent="0.25">
      <c r="A114" s="64" t="s">
        <v>416</v>
      </c>
      <c r="B114" s="154" t="s">
        <v>616</v>
      </c>
      <c r="C114" s="111">
        <v>1</v>
      </c>
      <c r="D114" s="174">
        <v>0</v>
      </c>
      <c r="E114" s="174">
        <v>4524</v>
      </c>
      <c r="F114" s="174">
        <v>0</v>
      </c>
      <c r="G114" s="174"/>
      <c r="H114" s="175">
        <v>0</v>
      </c>
      <c r="I114" s="174">
        <f t="shared" si="64"/>
        <v>0</v>
      </c>
      <c r="J114" s="175">
        <v>0</v>
      </c>
      <c r="K114" s="174">
        <f t="shared" si="65"/>
        <v>0</v>
      </c>
      <c r="L114" s="174">
        <f t="shared" si="66"/>
        <v>0</v>
      </c>
      <c r="M114" s="23"/>
      <c r="N114" s="23"/>
    </row>
    <row r="115" spans="1:14" ht="27.7" customHeight="1" x14ac:dyDescent="0.25">
      <c r="A115" s="64" t="s">
        <v>642</v>
      </c>
      <c r="B115" s="154" t="s">
        <v>617</v>
      </c>
      <c r="C115" s="111">
        <v>0.42</v>
      </c>
      <c r="D115" s="174">
        <v>0</v>
      </c>
      <c r="E115" s="174">
        <v>4524</v>
      </c>
      <c r="F115" s="174">
        <v>0</v>
      </c>
      <c r="G115" s="174"/>
      <c r="H115" s="175">
        <v>0</v>
      </c>
      <c r="I115" s="174">
        <f t="shared" si="64"/>
        <v>0</v>
      </c>
      <c r="J115" s="175">
        <v>0</v>
      </c>
      <c r="K115" s="174">
        <f t="shared" si="65"/>
        <v>0</v>
      </c>
      <c r="L115" s="174">
        <f t="shared" si="66"/>
        <v>0</v>
      </c>
      <c r="M115" s="23"/>
      <c r="N115" s="23"/>
    </row>
    <row r="116" spans="1:14" ht="27.7" customHeight="1" x14ac:dyDescent="0.25">
      <c r="A116" s="64" t="s">
        <v>643</v>
      </c>
      <c r="B116" s="154" t="s">
        <v>618</v>
      </c>
      <c r="C116" s="111">
        <v>3</v>
      </c>
      <c r="D116" s="174">
        <v>0</v>
      </c>
      <c r="E116" s="174">
        <v>3511</v>
      </c>
      <c r="F116" s="174">
        <v>0</v>
      </c>
      <c r="G116" s="174"/>
      <c r="H116" s="175">
        <v>0</v>
      </c>
      <c r="I116" s="174">
        <f t="shared" si="64"/>
        <v>0</v>
      </c>
      <c r="J116" s="175">
        <v>0</v>
      </c>
      <c r="K116" s="174">
        <f t="shared" si="65"/>
        <v>0</v>
      </c>
      <c r="L116" s="174">
        <f t="shared" si="66"/>
        <v>0</v>
      </c>
      <c r="M116" s="23"/>
      <c r="N116" s="23"/>
    </row>
    <row r="117" spans="1:14" ht="27.1" customHeight="1" x14ac:dyDescent="0.25">
      <c r="A117" s="64" t="s">
        <v>644</v>
      </c>
      <c r="B117" s="154" t="s">
        <v>619</v>
      </c>
      <c r="C117" s="111">
        <v>0.83</v>
      </c>
      <c r="D117" s="174">
        <v>0</v>
      </c>
      <c r="E117" s="174">
        <v>5267</v>
      </c>
      <c r="F117" s="174">
        <v>0</v>
      </c>
      <c r="G117" s="174"/>
      <c r="H117" s="175">
        <v>0</v>
      </c>
      <c r="I117" s="174">
        <f t="shared" si="64"/>
        <v>0</v>
      </c>
      <c r="J117" s="175">
        <v>0</v>
      </c>
      <c r="K117" s="174">
        <f t="shared" si="65"/>
        <v>0</v>
      </c>
      <c r="L117" s="174">
        <f t="shared" si="66"/>
        <v>0</v>
      </c>
      <c r="M117" s="23"/>
      <c r="N117" s="23"/>
    </row>
    <row r="118" spans="1:14" ht="17.25" customHeight="1" x14ac:dyDescent="0.25">
      <c r="A118" s="12" t="s">
        <v>121</v>
      </c>
      <c r="B118" s="12">
        <v>2110</v>
      </c>
      <c r="C118" s="10">
        <f>SUM(C77:C117)</f>
        <v>57.75</v>
      </c>
      <c r="D118" s="49" t="s">
        <v>1</v>
      </c>
      <c r="E118" s="49" t="s">
        <v>1</v>
      </c>
      <c r="F118" s="49" t="s">
        <v>1</v>
      </c>
      <c r="G118" s="49" t="s">
        <v>1</v>
      </c>
      <c r="H118" s="49" t="s">
        <v>1</v>
      </c>
      <c r="I118" s="49" t="s">
        <v>1</v>
      </c>
      <c r="J118" s="49" t="s">
        <v>1</v>
      </c>
      <c r="K118" s="49" t="s">
        <v>1</v>
      </c>
      <c r="L118" s="155">
        <f>SUM(L77:L117)-2081993</f>
        <v>7221504.9980262388</v>
      </c>
      <c r="M118" s="282"/>
      <c r="N118" s="283"/>
    </row>
    <row r="119" spans="1:14" ht="13.15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13.15" x14ac:dyDescent="0.2">
      <c r="A120" s="272" t="s">
        <v>633</v>
      </c>
      <c r="B120" s="272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</row>
    <row r="121" spans="1:14" ht="13.15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</row>
    <row r="122" spans="1:14" ht="15.05" customHeight="1" x14ac:dyDescent="0.2">
      <c r="A122" s="245" t="s">
        <v>160</v>
      </c>
      <c r="B122" s="245" t="s">
        <v>11</v>
      </c>
      <c r="C122" s="245" t="s">
        <v>161</v>
      </c>
      <c r="D122" s="247" t="s">
        <v>162</v>
      </c>
      <c r="E122" s="247"/>
      <c r="F122" s="247"/>
      <c r="G122" s="247"/>
      <c r="H122" s="247"/>
      <c r="I122" s="247"/>
      <c r="J122" s="247"/>
      <c r="K122" s="247"/>
      <c r="L122" s="248" t="s">
        <v>163</v>
      </c>
      <c r="M122" s="66"/>
      <c r="N122" s="66"/>
    </row>
    <row r="123" spans="1:14" ht="12.7" customHeight="1" x14ac:dyDescent="0.2">
      <c r="A123" s="245"/>
      <c r="B123" s="245"/>
      <c r="C123" s="245"/>
      <c r="D123" s="248" t="s">
        <v>379</v>
      </c>
      <c r="E123" s="247" t="s">
        <v>57</v>
      </c>
      <c r="F123" s="247"/>
      <c r="G123" s="247"/>
      <c r="H123" s="247"/>
      <c r="I123" s="247"/>
      <c r="J123" s="247"/>
      <c r="K123" s="247"/>
      <c r="L123" s="248"/>
      <c r="M123" s="66"/>
      <c r="N123" s="66"/>
    </row>
    <row r="124" spans="1:14" ht="20.2" customHeight="1" x14ac:dyDescent="0.2">
      <c r="A124" s="245"/>
      <c r="B124" s="245"/>
      <c r="C124" s="245"/>
      <c r="D124" s="248"/>
      <c r="E124" s="248" t="s">
        <v>164</v>
      </c>
      <c r="F124" s="248" t="s">
        <v>165</v>
      </c>
      <c r="G124" s="248" t="s">
        <v>166</v>
      </c>
      <c r="H124" s="245" t="s">
        <v>167</v>
      </c>
      <c r="I124" s="245"/>
      <c r="J124" s="245" t="s">
        <v>168</v>
      </c>
      <c r="K124" s="245"/>
      <c r="L124" s="248"/>
      <c r="M124" s="66"/>
      <c r="N124" s="66"/>
    </row>
    <row r="125" spans="1:14" ht="52.6" x14ac:dyDescent="0.2">
      <c r="A125" s="245"/>
      <c r="B125" s="245"/>
      <c r="C125" s="245"/>
      <c r="D125" s="248"/>
      <c r="E125" s="248"/>
      <c r="F125" s="248"/>
      <c r="G125" s="248"/>
      <c r="H125" s="11" t="s">
        <v>169</v>
      </c>
      <c r="I125" s="13" t="s">
        <v>170</v>
      </c>
      <c r="J125" s="11" t="s">
        <v>169</v>
      </c>
      <c r="K125" s="13" t="s">
        <v>171</v>
      </c>
      <c r="L125" s="248"/>
      <c r="M125" s="66"/>
      <c r="N125" s="66"/>
    </row>
    <row r="126" spans="1:14" ht="13.15" x14ac:dyDescent="0.2">
      <c r="A126" s="12" t="s">
        <v>19</v>
      </c>
      <c r="B126" s="12" t="s">
        <v>20</v>
      </c>
      <c r="C126" s="12" t="s">
        <v>21</v>
      </c>
      <c r="D126" s="12" t="s">
        <v>22</v>
      </c>
      <c r="E126" s="12" t="s">
        <v>23</v>
      </c>
      <c r="F126" s="12" t="s">
        <v>24</v>
      </c>
      <c r="G126" s="12" t="s">
        <v>25</v>
      </c>
      <c r="H126" s="12" t="s">
        <v>26</v>
      </c>
      <c r="I126" s="12" t="s">
        <v>27</v>
      </c>
      <c r="J126" s="12" t="s">
        <v>28</v>
      </c>
      <c r="K126" s="12" t="s">
        <v>29</v>
      </c>
      <c r="L126" s="12" t="s">
        <v>172</v>
      </c>
      <c r="M126" s="66"/>
      <c r="N126" s="66"/>
    </row>
    <row r="127" spans="1:14" ht="13.15" x14ac:dyDescent="0.2">
      <c r="A127" s="63" t="s">
        <v>398</v>
      </c>
      <c r="B127" s="154" t="s">
        <v>31</v>
      </c>
      <c r="C127" s="111">
        <v>1</v>
      </c>
      <c r="D127" s="174">
        <f>E127+F127+G127+I127+K127</f>
        <v>36384.614399999999</v>
      </c>
      <c r="E127" s="174">
        <v>18950.32</v>
      </c>
      <c r="F127" s="174">
        <f>E127*0.2</f>
        <v>3790.0640000000003</v>
      </c>
      <c r="G127" s="174"/>
      <c r="H127" s="175">
        <v>30</v>
      </c>
      <c r="I127" s="174">
        <f>(E127+F127+G127)*H127/100</f>
        <v>6822.1151999999993</v>
      </c>
      <c r="J127" s="175">
        <v>30</v>
      </c>
      <c r="K127" s="174">
        <f>(E127+F127+G127)*J127/100</f>
        <v>6822.1151999999993</v>
      </c>
      <c r="L127" s="174">
        <f>C127*D127*12</f>
        <v>436615.37280000001</v>
      </c>
      <c r="M127" s="66"/>
      <c r="N127" s="66"/>
    </row>
    <row r="128" spans="1:14" ht="26.3" x14ac:dyDescent="0.2">
      <c r="A128" s="63" t="s">
        <v>607</v>
      </c>
      <c r="B128" s="154" t="s">
        <v>33</v>
      </c>
      <c r="C128" s="111">
        <v>1</v>
      </c>
      <c r="D128" s="174">
        <f>E128+F128+G128+I128+K128</f>
        <v>29107.699200000006</v>
      </c>
      <c r="E128" s="174">
        <v>15160.26</v>
      </c>
      <c r="F128" s="174">
        <f>E128*0.2</f>
        <v>3032.0520000000001</v>
      </c>
      <c r="G128" s="174"/>
      <c r="H128" s="175">
        <v>30</v>
      </c>
      <c r="I128" s="174">
        <f>(E128+F128+G128)*H128/100</f>
        <v>5457.6936000000014</v>
      </c>
      <c r="J128" s="175">
        <v>30</v>
      </c>
      <c r="K128" s="174">
        <f>(E128+F128+G128)*J128/100</f>
        <v>5457.6936000000014</v>
      </c>
      <c r="L128" s="174">
        <f>C128*D128*12</f>
        <v>349292.39040000009</v>
      </c>
      <c r="M128" s="66"/>
      <c r="N128" s="66"/>
    </row>
    <row r="129" spans="1:14" ht="13.15" x14ac:dyDescent="0.2">
      <c r="A129" s="63" t="s">
        <v>608</v>
      </c>
      <c r="B129" s="154" t="s">
        <v>380</v>
      </c>
      <c r="C129" s="111">
        <v>1</v>
      </c>
      <c r="D129" s="174">
        <f t="shared" ref="D129:D149" si="67">E129+F129+G129+I129+K129</f>
        <v>18772</v>
      </c>
      <c r="E129" s="174">
        <v>9025</v>
      </c>
      <c r="F129" s="174">
        <f t="shared" ref="F129:F149" si="68">E129*0.2</f>
        <v>1805</v>
      </c>
      <c r="G129" s="174">
        <f>E129*0.1</f>
        <v>902.5</v>
      </c>
      <c r="H129" s="175">
        <v>30</v>
      </c>
      <c r="I129" s="174">
        <f t="shared" ref="I129:I149" si="69">(E129+F129+G129)*H129/100</f>
        <v>3519.75</v>
      </c>
      <c r="J129" s="175">
        <v>30</v>
      </c>
      <c r="K129" s="174">
        <f t="shared" ref="K129:K149" si="70">(E129+F129+G129)*J129/100</f>
        <v>3519.75</v>
      </c>
      <c r="L129" s="174">
        <f t="shared" ref="L129:L149" si="71">C129*D129*12</f>
        <v>225264</v>
      </c>
      <c r="M129" s="66"/>
      <c r="N129" s="66"/>
    </row>
    <row r="130" spans="1:14" ht="13.15" x14ac:dyDescent="0.2">
      <c r="A130" s="63" t="s">
        <v>636</v>
      </c>
      <c r="B130" s="154" t="s">
        <v>428</v>
      </c>
      <c r="C130" s="111">
        <v>1</v>
      </c>
      <c r="D130" s="174">
        <f t="shared" si="67"/>
        <v>25100.16</v>
      </c>
      <c r="E130" s="174">
        <v>13073</v>
      </c>
      <c r="F130" s="174">
        <f t="shared" si="68"/>
        <v>2614.6000000000004</v>
      </c>
      <c r="G130" s="174"/>
      <c r="H130" s="175">
        <v>30</v>
      </c>
      <c r="I130" s="174">
        <f t="shared" si="69"/>
        <v>4706.28</v>
      </c>
      <c r="J130" s="175">
        <v>30</v>
      </c>
      <c r="K130" s="174">
        <f t="shared" si="70"/>
        <v>4706.28</v>
      </c>
      <c r="L130" s="174">
        <f t="shared" si="71"/>
        <v>301201.91999999998</v>
      </c>
      <c r="M130" s="66"/>
      <c r="N130" s="66"/>
    </row>
    <row r="131" spans="1:14" ht="26.3" x14ac:dyDescent="0.2">
      <c r="A131" s="64" t="s">
        <v>637</v>
      </c>
      <c r="B131" s="154" t="s">
        <v>427</v>
      </c>
      <c r="C131" s="111">
        <v>0.5</v>
      </c>
      <c r="D131" s="174">
        <f t="shared" si="67"/>
        <v>19224.96</v>
      </c>
      <c r="E131" s="174">
        <v>10013</v>
      </c>
      <c r="F131" s="174">
        <f t="shared" si="68"/>
        <v>2002.6000000000001</v>
      </c>
      <c r="G131" s="174"/>
      <c r="H131" s="175">
        <v>30</v>
      </c>
      <c r="I131" s="174">
        <f t="shared" si="69"/>
        <v>3604.68</v>
      </c>
      <c r="J131" s="175">
        <v>30</v>
      </c>
      <c r="K131" s="174">
        <f t="shared" si="70"/>
        <v>3604.68</v>
      </c>
      <c r="L131" s="174">
        <f t="shared" si="71"/>
        <v>115349.75999999999</v>
      </c>
      <c r="M131" s="66"/>
      <c r="N131" s="66"/>
    </row>
    <row r="132" spans="1:14" ht="13.15" x14ac:dyDescent="0.2">
      <c r="A132" s="64" t="s">
        <v>410</v>
      </c>
      <c r="B132" s="154" t="s">
        <v>429</v>
      </c>
      <c r="C132" s="111">
        <v>1</v>
      </c>
      <c r="D132" s="174">
        <f t="shared" si="67"/>
        <v>15450.24</v>
      </c>
      <c r="E132" s="174">
        <v>7428</v>
      </c>
      <c r="F132" s="174">
        <f t="shared" si="68"/>
        <v>1485.6000000000001</v>
      </c>
      <c r="G132" s="174">
        <f t="shared" ref="G132:G133" si="72">E132*0.1</f>
        <v>742.80000000000007</v>
      </c>
      <c r="H132" s="175">
        <v>30</v>
      </c>
      <c r="I132" s="174">
        <f t="shared" si="69"/>
        <v>2896.92</v>
      </c>
      <c r="J132" s="175">
        <v>30</v>
      </c>
      <c r="K132" s="174">
        <f t="shared" si="70"/>
        <v>2896.92</v>
      </c>
      <c r="L132" s="174">
        <f t="shared" si="71"/>
        <v>185402.88</v>
      </c>
      <c r="M132" s="66"/>
      <c r="N132" s="66"/>
    </row>
    <row r="133" spans="1:14" ht="13.15" x14ac:dyDescent="0.2">
      <c r="A133" s="63" t="s">
        <v>409</v>
      </c>
      <c r="B133" s="154" t="s">
        <v>430</v>
      </c>
      <c r="C133" s="111">
        <v>0.5</v>
      </c>
      <c r="D133" s="174">
        <f t="shared" si="67"/>
        <v>15450.24</v>
      </c>
      <c r="E133" s="174">
        <v>7428</v>
      </c>
      <c r="F133" s="174">
        <f t="shared" si="68"/>
        <v>1485.6000000000001</v>
      </c>
      <c r="G133" s="174">
        <f t="shared" si="72"/>
        <v>742.80000000000007</v>
      </c>
      <c r="H133" s="175">
        <v>30</v>
      </c>
      <c r="I133" s="174">
        <f t="shared" si="69"/>
        <v>2896.92</v>
      </c>
      <c r="J133" s="175">
        <v>30</v>
      </c>
      <c r="K133" s="174">
        <f t="shared" si="70"/>
        <v>2896.92</v>
      </c>
      <c r="L133" s="174">
        <f t="shared" si="71"/>
        <v>92701.440000000002</v>
      </c>
      <c r="M133" s="66"/>
      <c r="N133" s="66"/>
    </row>
    <row r="134" spans="1:14" ht="13.15" x14ac:dyDescent="0.2">
      <c r="A134" s="63" t="s">
        <v>401</v>
      </c>
      <c r="B134" s="154" t="s">
        <v>431</v>
      </c>
      <c r="C134" s="111">
        <v>1.5</v>
      </c>
      <c r="D134" s="174">
        <f t="shared" si="67"/>
        <v>25100.16</v>
      </c>
      <c r="E134" s="174">
        <v>13073</v>
      </c>
      <c r="F134" s="174">
        <f t="shared" si="68"/>
        <v>2614.6000000000004</v>
      </c>
      <c r="G134" s="174"/>
      <c r="H134" s="175">
        <v>30</v>
      </c>
      <c r="I134" s="174">
        <f t="shared" si="69"/>
        <v>4706.28</v>
      </c>
      <c r="J134" s="175">
        <v>30</v>
      </c>
      <c r="K134" s="174">
        <f t="shared" si="70"/>
        <v>4706.28</v>
      </c>
      <c r="L134" s="174">
        <f t="shared" si="71"/>
        <v>451802.88</v>
      </c>
      <c r="M134" s="66"/>
      <c r="N134" s="66"/>
    </row>
    <row r="135" spans="1:14" ht="26.3" x14ac:dyDescent="0.2">
      <c r="A135" s="63" t="s">
        <v>422</v>
      </c>
      <c r="B135" s="154" t="s">
        <v>432</v>
      </c>
      <c r="C135" s="111">
        <v>0.75</v>
      </c>
      <c r="D135" s="174">
        <f t="shared" si="67"/>
        <v>25100.16</v>
      </c>
      <c r="E135" s="174">
        <v>13073</v>
      </c>
      <c r="F135" s="174">
        <f t="shared" si="68"/>
        <v>2614.6000000000004</v>
      </c>
      <c r="G135" s="174"/>
      <c r="H135" s="175">
        <v>30</v>
      </c>
      <c r="I135" s="174">
        <f t="shared" si="69"/>
        <v>4706.28</v>
      </c>
      <c r="J135" s="175">
        <v>30</v>
      </c>
      <c r="K135" s="174">
        <f t="shared" si="70"/>
        <v>4706.28</v>
      </c>
      <c r="L135" s="174">
        <f t="shared" si="71"/>
        <v>225901.44</v>
      </c>
      <c r="M135" s="66"/>
      <c r="N135" s="66"/>
    </row>
    <row r="136" spans="1:14" ht="13.15" x14ac:dyDescent="0.2">
      <c r="A136" s="63" t="s">
        <v>402</v>
      </c>
      <c r="B136" s="154" t="s">
        <v>433</v>
      </c>
      <c r="C136" s="111">
        <v>1</v>
      </c>
      <c r="D136" s="174">
        <f t="shared" si="67"/>
        <v>25100.16</v>
      </c>
      <c r="E136" s="174">
        <v>13073</v>
      </c>
      <c r="F136" s="174">
        <f t="shared" si="68"/>
        <v>2614.6000000000004</v>
      </c>
      <c r="G136" s="174"/>
      <c r="H136" s="175">
        <v>30</v>
      </c>
      <c r="I136" s="174">
        <f t="shared" si="69"/>
        <v>4706.28</v>
      </c>
      <c r="J136" s="175">
        <v>30</v>
      </c>
      <c r="K136" s="174">
        <f t="shared" si="70"/>
        <v>4706.28</v>
      </c>
      <c r="L136" s="174">
        <f t="shared" si="71"/>
        <v>301201.91999999998</v>
      </c>
      <c r="M136" s="66"/>
      <c r="N136" s="66"/>
    </row>
    <row r="137" spans="1:14" ht="26.3" x14ac:dyDescent="0.2">
      <c r="A137" s="63" t="s">
        <v>400</v>
      </c>
      <c r="B137" s="154" t="s">
        <v>434</v>
      </c>
      <c r="C137" s="111">
        <v>0.75</v>
      </c>
      <c r="D137" s="174">
        <f t="shared" si="67"/>
        <v>25100.16</v>
      </c>
      <c r="E137" s="174">
        <v>13073</v>
      </c>
      <c r="F137" s="174">
        <f t="shared" si="68"/>
        <v>2614.6000000000004</v>
      </c>
      <c r="G137" s="174"/>
      <c r="H137" s="175">
        <v>30</v>
      </c>
      <c r="I137" s="174">
        <f t="shared" si="69"/>
        <v>4706.28</v>
      </c>
      <c r="J137" s="175">
        <v>30</v>
      </c>
      <c r="K137" s="174">
        <f t="shared" si="70"/>
        <v>4706.28</v>
      </c>
      <c r="L137" s="174">
        <f t="shared" si="71"/>
        <v>225901.44</v>
      </c>
      <c r="M137" s="66"/>
      <c r="N137" s="66"/>
    </row>
    <row r="138" spans="1:14" ht="13.15" x14ac:dyDescent="0.2">
      <c r="A138" s="63" t="s">
        <v>403</v>
      </c>
      <c r="B138" s="154" t="s">
        <v>435</v>
      </c>
      <c r="C138" s="111">
        <v>1</v>
      </c>
      <c r="D138" s="174">
        <f t="shared" si="67"/>
        <v>25100.16</v>
      </c>
      <c r="E138" s="174">
        <v>13073</v>
      </c>
      <c r="F138" s="174">
        <f t="shared" si="68"/>
        <v>2614.6000000000004</v>
      </c>
      <c r="G138" s="174"/>
      <c r="H138" s="175">
        <v>30</v>
      </c>
      <c r="I138" s="174">
        <f t="shared" si="69"/>
        <v>4706.28</v>
      </c>
      <c r="J138" s="175">
        <v>30</v>
      </c>
      <c r="K138" s="174">
        <f t="shared" si="70"/>
        <v>4706.28</v>
      </c>
      <c r="L138" s="174">
        <f t="shared" si="71"/>
        <v>301201.91999999998</v>
      </c>
      <c r="M138" s="66"/>
      <c r="N138" s="66"/>
    </row>
    <row r="139" spans="1:14" ht="13.15" x14ac:dyDescent="0.2">
      <c r="A139" s="63" t="s">
        <v>399</v>
      </c>
      <c r="B139" s="154" t="s">
        <v>436</v>
      </c>
      <c r="C139" s="111">
        <v>1</v>
      </c>
      <c r="D139" s="174">
        <f t="shared" si="67"/>
        <v>25100.16</v>
      </c>
      <c r="E139" s="174">
        <v>13073</v>
      </c>
      <c r="F139" s="174">
        <f t="shared" si="68"/>
        <v>2614.6000000000004</v>
      </c>
      <c r="G139" s="174"/>
      <c r="H139" s="175">
        <v>30</v>
      </c>
      <c r="I139" s="174">
        <f t="shared" si="69"/>
        <v>4706.28</v>
      </c>
      <c r="J139" s="175">
        <v>30</v>
      </c>
      <c r="K139" s="174">
        <f t="shared" si="70"/>
        <v>4706.28</v>
      </c>
      <c r="L139" s="174">
        <f t="shared" si="71"/>
        <v>301201.91999999998</v>
      </c>
      <c r="M139" s="66"/>
      <c r="N139" s="66"/>
    </row>
    <row r="140" spans="1:14" ht="26.3" x14ac:dyDescent="0.2">
      <c r="A140" s="64" t="s">
        <v>419</v>
      </c>
      <c r="B140" s="154" t="s">
        <v>437</v>
      </c>
      <c r="C140" s="111">
        <v>0.25</v>
      </c>
      <c r="D140" s="174">
        <f t="shared" si="67"/>
        <v>10741.119999999999</v>
      </c>
      <c r="E140" s="174">
        <v>5164</v>
      </c>
      <c r="F140" s="174">
        <f t="shared" si="68"/>
        <v>1032.8</v>
      </c>
      <c r="G140" s="174">
        <f>E140*0.1</f>
        <v>516.4</v>
      </c>
      <c r="H140" s="175">
        <v>30</v>
      </c>
      <c r="I140" s="174">
        <f t="shared" si="69"/>
        <v>2013.96</v>
      </c>
      <c r="J140" s="175">
        <v>30</v>
      </c>
      <c r="K140" s="174">
        <f t="shared" si="70"/>
        <v>2013.96</v>
      </c>
      <c r="L140" s="174">
        <f t="shared" si="71"/>
        <v>32223.359999999997</v>
      </c>
      <c r="M140" s="66"/>
      <c r="N140" s="66"/>
    </row>
    <row r="141" spans="1:14" ht="13.15" x14ac:dyDescent="0.2">
      <c r="A141" s="64" t="s">
        <v>414</v>
      </c>
      <c r="B141" s="154" t="s">
        <v>438</v>
      </c>
      <c r="C141" s="111">
        <v>1</v>
      </c>
      <c r="D141" s="174">
        <f t="shared" si="67"/>
        <v>8906.56</v>
      </c>
      <c r="E141" s="174">
        <v>4282</v>
      </c>
      <c r="F141" s="174">
        <f t="shared" si="68"/>
        <v>856.40000000000009</v>
      </c>
      <c r="G141" s="174">
        <f>E141*0.1</f>
        <v>428.20000000000005</v>
      </c>
      <c r="H141" s="175">
        <v>30</v>
      </c>
      <c r="I141" s="174">
        <f t="shared" si="69"/>
        <v>1669.9799999999998</v>
      </c>
      <c r="J141" s="175">
        <v>30</v>
      </c>
      <c r="K141" s="174">
        <f t="shared" si="70"/>
        <v>1669.9799999999998</v>
      </c>
      <c r="L141" s="174">
        <f t="shared" si="71"/>
        <v>106878.72</v>
      </c>
      <c r="M141" s="66"/>
      <c r="N141" s="66"/>
    </row>
    <row r="142" spans="1:14" ht="13.15" x14ac:dyDescent="0.2">
      <c r="A142" s="64" t="s">
        <v>420</v>
      </c>
      <c r="B142" s="154" t="s">
        <v>439</v>
      </c>
      <c r="C142" s="111">
        <v>1</v>
      </c>
      <c r="D142" s="174">
        <f t="shared" si="67"/>
        <v>8906.56</v>
      </c>
      <c r="E142" s="174">
        <v>4282</v>
      </c>
      <c r="F142" s="174">
        <f t="shared" si="68"/>
        <v>856.40000000000009</v>
      </c>
      <c r="G142" s="174">
        <f>E142*0.1</f>
        <v>428.20000000000005</v>
      </c>
      <c r="H142" s="175">
        <v>30</v>
      </c>
      <c r="I142" s="174">
        <f t="shared" si="69"/>
        <v>1669.9799999999998</v>
      </c>
      <c r="J142" s="175">
        <v>30</v>
      </c>
      <c r="K142" s="174">
        <f t="shared" si="70"/>
        <v>1669.9799999999998</v>
      </c>
      <c r="L142" s="174">
        <f t="shared" si="71"/>
        <v>106878.72</v>
      </c>
      <c r="M142" s="66"/>
      <c r="N142" s="66"/>
    </row>
    <row r="143" spans="1:14" ht="13.15" x14ac:dyDescent="0.2">
      <c r="A143" s="64" t="s">
        <v>610</v>
      </c>
      <c r="B143" s="154" t="s">
        <v>440</v>
      </c>
      <c r="C143" s="111">
        <v>0.75</v>
      </c>
      <c r="D143" s="174">
        <f t="shared" si="67"/>
        <v>16323.839999999998</v>
      </c>
      <c r="E143" s="174">
        <v>8502</v>
      </c>
      <c r="F143" s="174">
        <f t="shared" si="68"/>
        <v>1700.4</v>
      </c>
      <c r="G143" s="174"/>
      <c r="H143" s="175">
        <v>30</v>
      </c>
      <c r="I143" s="174">
        <f t="shared" si="69"/>
        <v>3060.72</v>
      </c>
      <c r="J143" s="175">
        <v>30</v>
      </c>
      <c r="K143" s="174">
        <f t="shared" si="70"/>
        <v>3060.72</v>
      </c>
      <c r="L143" s="174">
        <f t="shared" si="71"/>
        <v>146914.56</v>
      </c>
      <c r="M143" s="66"/>
      <c r="N143" s="66"/>
    </row>
    <row r="144" spans="1:14" ht="13.15" x14ac:dyDescent="0.2">
      <c r="A144" s="64" t="s">
        <v>417</v>
      </c>
      <c r="B144" s="154" t="s">
        <v>441</v>
      </c>
      <c r="C144" s="111">
        <v>0.75</v>
      </c>
      <c r="D144" s="174">
        <f t="shared" si="67"/>
        <v>16323.839999999998</v>
      </c>
      <c r="E144" s="174">
        <v>8502</v>
      </c>
      <c r="F144" s="174">
        <f t="shared" si="68"/>
        <v>1700.4</v>
      </c>
      <c r="G144" s="174"/>
      <c r="H144" s="175">
        <v>30</v>
      </c>
      <c r="I144" s="174">
        <f t="shared" si="69"/>
        <v>3060.72</v>
      </c>
      <c r="J144" s="175">
        <v>30</v>
      </c>
      <c r="K144" s="174">
        <f t="shared" si="70"/>
        <v>3060.72</v>
      </c>
      <c r="L144" s="174">
        <f t="shared" si="71"/>
        <v>146914.56</v>
      </c>
      <c r="M144" s="66"/>
      <c r="N144" s="66"/>
    </row>
    <row r="145" spans="1:14" ht="13.15" x14ac:dyDescent="0.2">
      <c r="A145" s="64" t="s">
        <v>592</v>
      </c>
      <c r="B145" s="154" t="s">
        <v>425</v>
      </c>
      <c r="C145" s="111">
        <v>0.5</v>
      </c>
      <c r="D145" s="174">
        <f t="shared" si="67"/>
        <v>8103.68</v>
      </c>
      <c r="E145" s="174">
        <v>3896</v>
      </c>
      <c r="F145" s="174">
        <f t="shared" si="68"/>
        <v>779.2</v>
      </c>
      <c r="G145" s="174">
        <f>E145*0.1</f>
        <v>389.6</v>
      </c>
      <c r="H145" s="175">
        <v>30</v>
      </c>
      <c r="I145" s="174">
        <f t="shared" si="69"/>
        <v>1519.44</v>
      </c>
      <c r="J145" s="175">
        <v>30</v>
      </c>
      <c r="K145" s="174">
        <f t="shared" si="70"/>
        <v>1519.44</v>
      </c>
      <c r="L145" s="174">
        <f t="shared" si="71"/>
        <v>48622.080000000002</v>
      </c>
      <c r="M145" s="66"/>
      <c r="N145" s="66"/>
    </row>
    <row r="146" spans="1:14" ht="13.15" x14ac:dyDescent="0.2">
      <c r="A146" s="63" t="s">
        <v>408</v>
      </c>
      <c r="B146" s="154" t="s">
        <v>442</v>
      </c>
      <c r="C146" s="111">
        <v>0.75</v>
      </c>
      <c r="D146" s="174">
        <f t="shared" si="67"/>
        <v>19224.96</v>
      </c>
      <c r="E146" s="174">
        <v>10013</v>
      </c>
      <c r="F146" s="174">
        <f t="shared" si="68"/>
        <v>2002.6000000000001</v>
      </c>
      <c r="G146" s="174"/>
      <c r="H146" s="175">
        <v>30</v>
      </c>
      <c r="I146" s="174">
        <f t="shared" si="69"/>
        <v>3604.68</v>
      </c>
      <c r="J146" s="175">
        <v>30</v>
      </c>
      <c r="K146" s="174">
        <f t="shared" si="70"/>
        <v>3604.68</v>
      </c>
      <c r="L146" s="174">
        <f t="shared" si="71"/>
        <v>173024.63999999998</v>
      </c>
      <c r="M146" s="66"/>
      <c r="N146" s="66"/>
    </row>
    <row r="147" spans="1:14" ht="13.5" customHeight="1" x14ac:dyDescent="0.2">
      <c r="A147" s="64" t="s">
        <v>418</v>
      </c>
      <c r="B147" s="154" t="s">
        <v>443</v>
      </c>
      <c r="C147" s="111">
        <v>0.5</v>
      </c>
      <c r="D147" s="174">
        <f t="shared" si="67"/>
        <v>19224.96</v>
      </c>
      <c r="E147" s="174">
        <v>10013</v>
      </c>
      <c r="F147" s="174">
        <f t="shared" si="68"/>
        <v>2002.6000000000001</v>
      </c>
      <c r="G147" s="174"/>
      <c r="H147" s="175">
        <v>30</v>
      </c>
      <c r="I147" s="174">
        <f t="shared" si="69"/>
        <v>3604.68</v>
      </c>
      <c r="J147" s="175">
        <v>30</v>
      </c>
      <c r="K147" s="174">
        <f t="shared" si="70"/>
        <v>3604.68</v>
      </c>
      <c r="L147" s="174">
        <f t="shared" si="71"/>
        <v>115349.75999999999</v>
      </c>
      <c r="M147" s="66"/>
      <c r="N147" s="66"/>
    </row>
    <row r="148" spans="1:14" ht="13.15" x14ac:dyDescent="0.2">
      <c r="A148" s="63" t="s">
        <v>407</v>
      </c>
      <c r="B148" s="154" t="s">
        <v>444</v>
      </c>
      <c r="C148" s="111">
        <v>2.5</v>
      </c>
      <c r="D148" s="174">
        <f t="shared" si="67"/>
        <v>19224.96</v>
      </c>
      <c r="E148" s="174">
        <v>10013</v>
      </c>
      <c r="F148" s="174">
        <f t="shared" si="68"/>
        <v>2002.6000000000001</v>
      </c>
      <c r="G148" s="174"/>
      <c r="H148" s="175">
        <v>30</v>
      </c>
      <c r="I148" s="174">
        <f t="shared" si="69"/>
        <v>3604.68</v>
      </c>
      <c r="J148" s="175">
        <v>30</v>
      </c>
      <c r="K148" s="174">
        <f t="shared" si="70"/>
        <v>3604.68</v>
      </c>
      <c r="L148" s="174">
        <f t="shared" si="71"/>
        <v>576748.79999999993</v>
      </c>
      <c r="M148" s="66"/>
      <c r="N148" s="66"/>
    </row>
    <row r="149" spans="1:14" ht="13.15" x14ac:dyDescent="0.2">
      <c r="A149" s="63" t="s">
        <v>638</v>
      </c>
      <c r="B149" s="154" t="s">
        <v>426</v>
      </c>
      <c r="C149" s="111">
        <v>0.5</v>
      </c>
      <c r="D149" s="174">
        <f t="shared" si="67"/>
        <v>9914.880000000001</v>
      </c>
      <c r="E149" s="174">
        <v>5164</v>
      </c>
      <c r="F149" s="174">
        <f t="shared" si="68"/>
        <v>1032.8</v>
      </c>
      <c r="G149" s="174"/>
      <c r="H149" s="175">
        <v>30</v>
      </c>
      <c r="I149" s="174">
        <f t="shared" si="69"/>
        <v>1859.04</v>
      </c>
      <c r="J149" s="175">
        <v>30</v>
      </c>
      <c r="K149" s="174">
        <f t="shared" si="70"/>
        <v>1859.04</v>
      </c>
      <c r="L149" s="174">
        <f t="shared" si="71"/>
        <v>59489.280000000006</v>
      </c>
      <c r="M149" s="66"/>
      <c r="N149" s="66"/>
    </row>
    <row r="150" spans="1:14" ht="13.15" x14ac:dyDescent="0.2">
      <c r="A150" s="63" t="s">
        <v>404</v>
      </c>
      <c r="B150" s="154" t="s">
        <v>445</v>
      </c>
      <c r="C150" s="111">
        <v>0.75</v>
      </c>
      <c r="D150" s="174">
        <f>E150+F150+G150+I150+K150</f>
        <v>19224.96</v>
      </c>
      <c r="E150" s="174">
        <v>10013</v>
      </c>
      <c r="F150" s="174">
        <f>E150*0.2</f>
        <v>2002.6000000000001</v>
      </c>
      <c r="G150" s="174"/>
      <c r="H150" s="175">
        <v>30</v>
      </c>
      <c r="I150" s="174">
        <f>(E150+F150+G150)*H150/100</f>
        <v>3604.68</v>
      </c>
      <c r="J150" s="175">
        <v>30</v>
      </c>
      <c r="K150" s="174">
        <f>(E150+F150+G150)*J150/100</f>
        <v>3604.68</v>
      </c>
      <c r="L150" s="174">
        <f>C150*D150*12</f>
        <v>173024.63999999998</v>
      </c>
      <c r="M150" s="66"/>
      <c r="N150" s="66"/>
    </row>
    <row r="151" spans="1:14" ht="13.15" x14ac:dyDescent="0.2">
      <c r="A151" s="63" t="s">
        <v>405</v>
      </c>
      <c r="B151" s="154" t="s">
        <v>446</v>
      </c>
      <c r="C151" s="111">
        <v>0.25</v>
      </c>
      <c r="D151" s="174">
        <f t="shared" ref="D151:D152" si="73">E151+F151+G151+I151+K151</f>
        <v>19224.96</v>
      </c>
      <c r="E151" s="174">
        <v>10013</v>
      </c>
      <c r="F151" s="174">
        <f t="shared" ref="F151:F152" si="74">E151*0.2</f>
        <v>2002.6000000000001</v>
      </c>
      <c r="G151" s="174"/>
      <c r="H151" s="175">
        <v>30</v>
      </c>
      <c r="I151" s="174">
        <f t="shared" ref="I151:I152" si="75">(E151+F151+G151)*H151/100</f>
        <v>3604.68</v>
      </c>
      <c r="J151" s="175">
        <v>30</v>
      </c>
      <c r="K151" s="174">
        <f t="shared" ref="K151:K152" si="76">(E151+F151+G151)*J151/100</f>
        <v>3604.68</v>
      </c>
      <c r="L151" s="174">
        <f t="shared" ref="L151:L152" si="77">C151*D151*12</f>
        <v>57674.879999999997</v>
      </c>
      <c r="M151" s="66"/>
      <c r="N151" s="66"/>
    </row>
    <row r="152" spans="1:14" ht="13.15" x14ac:dyDescent="0.2">
      <c r="A152" s="63" t="s">
        <v>406</v>
      </c>
      <c r="B152" s="154" t="s">
        <v>447</v>
      </c>
      <c r="C152" s="111">
        <v>1</v>
      </c>
      <c r="D152" s="174">
        <f t="shared" si="73"/>
        <v>19224.96</v>
      </c>
      <c r="E152" s="174">
        <v>10013</v>
      </c>
      <c r="F152" s="174">
        <f t="shared" si="74"/>
        <v>2002.6000000000001</v>
      </c>
      <c r="G152" s="174"/>
      <c r="H152" s="175">
        <v>30</v>
      </c>
      <c r="I152" s="174">
        <f t="shared" si="75"/>
        <v>3604.68</v>
      </c>
      <c r="J152" s="175">
        <v>30</v>
      </c>
      <c r="K152" s="174">
        <f t="shared" si="76"/>
        <v>3604.68</v>
      </c>
      <c r="L152" s="174">
        <f t="shared" si="77"/>
        <v>230699.51999999999</v>
      </c>
      <c r="M152" s="66"/>
      <c r="N152" s="66"/>
    </row>
    <row r="153" spans="1:14" ht="13.15" x14ac:dyDescent="0.2">
      <c r="A153" s="64" t="s">
        <v>421</v>
      </c>
      <c r="B153" s="154" t="s">
        <v>448</v>
      </c>
      <c r="C153" s="111">
        <v>1</v>
      </c>
      <c r="D153" s="174">
        <f>E153+F153+G153+I153+K153</f>
        <v>6741.12</v>
      </c>
      <c r="E153" s="174">
        <v>3511</v>
      </c>
      <c r="F153" s="174">
        <f>E153*0.2</f>
        <v>702.2</v>
      </c>
      <c r="G153" s="174"/>
      <c r="H153" s="175">
        <v>30</v>
      </c>
      <c r="I153" s="174">
        <f>(E153+F153+G153)*H153/100</f>
        <v>1263.96</v>
      </c>
      <c r="J153" s="175">
        <v>30</v>
      </c>
      <c r="K153" s="174">
        <f>(E153+F153+G153)*J153/100</f>
        <v>1263.96</v>
      </c>
      <c r="L153" s="174">
        <f>C153*D153*12</f>
        <v>80893.440000000002</v>
      </c>
      <c r="M153" s="66"/>
      <c r="N153" s="66"/>
    </row>
    <row r="154" spans="1:14" ht="13.15" x14ac:dyDescent="0.2">
      <c r="A154" s="64" t="s">
        <v>413</v>
      </c>
      <c r="B154" s="154" t="s">
        <v>449</v>
      </c>
      <c r="C154" s="111">
        <v>2</v>
      </c>
      <c r="D154" s="174">
        <f>E154+F154+G154+I154+K154</f>
        <v>11399.039999999999</v>
      </c>
      <c r="E154" s="174">
        <v>5937</v>
      </c>
      <c r="F154" s="174">
        <f>E154*0.2</f>
        <v>1187.4000000000001</v>
      </c>
      <c r="G154" s="174"/>
      <c r="H154" s="175">
        <v>30</v>
      </c>
      <c r="I154" s="174">
        <f>(E154+F154+G154)*H154/100</f>
        <v>2137.3200000000002</v>
      </c>
      <c r="J154" s="175">
        <v>30</v>
      </c>
      <c r="K154" s="174">
        <f>(E154+F154+G154)*J154/100</f>
        <v>2137.3200000000002</v>
      </c>
      <c r="L154" s="174">
        <f>C154*D154*12</f>
        <v>273576.95999999996</v>
      </c>
      <c r="M154" s="66"/>
      <c r="N154" s="66"/>
    </row>
    <row r="155" spans="1:14" ht="13.15" x14ac:dyDescent="0.2">
      <c r="A155" s="63" t="s">
        <v>423</v>
      </c>
      <c r="B155" s="154" t="s">
        <v>450</v>
      </c>
      <c r="C155" s="111">
        <v>5</v>
      </c>
      <c r="D155" s="174">
        <f t="shared" ref="D155:D157" si="78">E155+F155+G155+I155+K155</f>
        <v>10112.64</v>
      </c>
      <c r="E155" s="174">
        <v>5267</v>
      </c>
      <c r="F155" s="174">
        <f t="shared" ref="F155:F157" si="79">E155*0.2</f>
        <v>1053.4000000000001</v>
      </c>
      <c r="G155" s="174"/>
      <c r="H155" s="175">
        <v>30</v>
      </c>
      <c r="I155" s="174">
        <f t="shared" ref="I155:I157" si="80">(E155+F155+G155)*H155/100</f>
        <v>1896.12</v>
      </c>
      <c r="J155" s="175">
        <v>30</v>
      </c>
      <c r="K155" s="174">
        <f t="shared" ref="K155:K157" si="81">(E155+F155+G155)*J155/100</f>
        <v>1896.12</v>
      </c>
      <c r="L155" s="174">
        <f t="shared" ref="L155:L157" si="82">C155*D155*12</f>
        <v>606758.39999999991</v>
      </c>
      <c r="M155" s="66"/>
      <c r="N155" s="66"/>
    </row>
    <row r="156" spans="1:14" ht="26.3" x14ac:dyDescent="0.2">
      <c r="A156" s="63" t="s">
        <v>639</v>
      </c>
      <c r="B156" s="154" t="s">
        <v>451</v>
      </c>
      <c r="C156" s="111">
        <v>1.5</v>
      </c>
      <c r="D156" s="174">
        <f t="shared" si="78"/>
        <v>10112.64</v>
      </c>
      <c r="E156" s="174">
        <v>5267</v>
      </c>
      <c r="F156" s="174">
        <f t="shared" si="79"/>
        <v>1053.4000000000001</v>
      </c>
      <c r="G156" s="174"/>
      <c r="H156" s="175">
        <v>30</v>
      </c>
      <c r="I156" s="174">
        <f t="shared" si="80"/>
        <v>1896.12</v>
      </c>
      <c r="J156" s="175">
        <v>30</v>
      </c>
      <c r="K156" s="174">
        <f t="shared" si="81"/>
        <v>1896.12</v>
      </c>
      <c r="L156" s="174">
        <f t="shared" si="82"/>
        <v>182027.51999999999</v>
      </c>
      <c r="M156" s="66"/>
      <c r="N156" s="66"/>
    </row>
    <row r="157" spans="1:14" ht="26.3" x14ac:dyDescent="0.2">
      <c r="A157" s="63" t="s">
        <v>640</v>
      </c>
      <c r="B157" s="154" t="s">
        <v>452</v>
      </c>
      <c r="C157" s="111">
        <v>0.5</v>
      </c>
      <c r="D157" s="174">
        <f t="shared" si="78"/>
        <v>10759.84</v>
      </c>
      <c r="E157" s="174">
        <v>5173</v>
      </c>
      <c r="F157" s="174">
        <f t="shared" si="79"/>
        <v>1034.6000000000001</v>
      </c>
      <c r="G157" s="174">
        <f t="shared" ref="G157" si="83">E157*0.1</f>
        <v>517.30000000000007</v>
      </c>
      <c r="H157" s="175">
        <v>30</v>
      </c>
      <c r="I157" s="174">
        <f t="shared" si="80"/>
        <v>2017.4700000000003</v>
      </c>
      <c r="J157" s="175">
        <v>30</v>
      </c>
      <c r="K157" s="174">
        <f t="shared" si="81"/>
        <v>2017.4700000000003</v>
      </c>
      <c r="L157" s="174">
        <f t="shared" si="82"/>
        <v>64559.040000000001</v>
      </c>
      <c r="M157" s="66"/>
      <c r="N157" s="66"/>
    </row>
    <row r="158" spans="1:14" ht="13.15" x14ac:dyDescent="0.2">
      <c r="A158" s="63" t="s">
        <v>415</v>
      </c>
      <c r="B158" s="154" t="s">
        <v>453</v>
      </c>
      <c r="C158" s="111">
        <v>8</v>
      </c>
      <c r="D158" s="174">
        <f>E158+F158+G158+I158+K158</f>
        <v>8686.08</v>
      </c>
      <c r="E158" s="174">
        <v>4524</v>
      </c>
      <c r="F158" s="174">
        <f>E158*0.2</f>
        <v>904.80000000000007</v>
      </c>
      <c r="G158" s="174"/>
      <c r="H158" s="175">
        <v>30</v>
      </c>
      <c r="I158" s="174">
        <f>(E158+F158+G158)*H158/100</f>
        <v>1628.64</v>
      </c>
      <c r="J158" s="175">
        <v>30</v>
      </c>
      <c r="K158" s="174">
        <f>(E158+F158+G158)*J158/100</f>
        <v>1628.64</v>
      </c>
      <c r="L158" s="174">
        <f>C158*D158*12</f>
        <v>833863.67999999993</v>
      </c>
      <c r="M158" s="66"/>
      <c r="N158" s="66"/>
    </row>
    <row r="159" spans="1:14" ht="13.15" x14ac:dyDescent="0.2">
      <c r="A159" s="64" t="s">
        <v>411</v>
      </c>
      <c r="B159" s="154" t="s">
        <v>611</v>
      </c>
      <c r="C159" s="111">
        <v>1</v>
      </c>
      <c r="D159" s="174">
        <f t="shared" ref="D159:D163" si="84">E159+F159+G159+I159+K159</f>
        <v>9932.16</v>
      </c>
      <c r="E159" s="174">
        <v>5173</v>
      </c>
      <c r="F159" s="174">
        <f t="shared" ref="F159:F163" si="85">E159*0.2</f>
        <v>1034.6000000000001</v>
      </c>
      <c r="G159" s="174"/>
      <c r="H159" s="175">
        <v>30</v>
      </c>
      <c r="I159" s="174">
        <f t="shared" ref="I159:I167" si="86">(E159+F159+G159)*H159/100</f>
        <v>1862.28</v>
      </c>
      <c r="J159" s="175">
        <v>30</v>
      </c>
      <c r="K159" s="174">
        <f t="shared" ref="K159:K167" si="87">(E159+F159+G159)*J159/100</f>
        <v>1862.28</v>
      </c>
      <c r="L159" s="174">
        <f t="shared" ref="L159:L167" si="88">C159*D159*12</f>
        <v>119185.92</v>
      </c>
      <c r="M159" s="66"/>
      <c r="N159" s="66"/>
    </row>
    <row r="160" spans="1:14" ht="13.15" x14ac:dyDescent="0.2">
      <c r="A160" s="64" t="s">
        <v>609</v>
      </c>
      <c r="B160" s="154" t="s">
        <v>612</v>
      </c>
      <c r="C160" s="111">
        <v>0.75</v>
      </c>
      <c r="D160" s="174">
        <f t="shared" si="84"/>
        <v>7480.32</v>
      </c>
      <c r="E160" s="174">
        <v>3896</v>
      </c>
      <c r="F160" s="174">
        <f t="shared" si="85"/>
        <v>779.2</v>
      </c>
      <c r="G160" s="174"/>
      <c r="H160" s="175">
        <v>30</v>
      </c>
      <c r="I160" s="174">
        <f t="shared" si="86"/>
        <v>1402.56</v>
      </c>
      <c r="J160" s="175">
        <v>30</v>
      </c>
      <c r="K160" s="174">
        <f t="shared" si="87"/>
        <v>1402.56</v>
      </c>
      <c r="L160" s="174">
        <f t="shared" si="88"/>
        <v>67322.880000000005</v>
      </c>
      <c r="M160" s="66"/>
      <c r="N160" s="66"/>
    </row>
    <row r="161" spans="1:14" ht="13.15" x14ac:dyDescent="0.2">
      <c r="A161" s="64" t="s">
        <v>424</v>
      </c>
      <c r="B161" s="154" t="s">
        <v>613</v>
      </c>
      <c r="C161" s="111">
        <v>0.75</v>
      </c>
      <c r="D161" s="174">
        <f t="shared" si="84"/>
        <v>6741.12</v>
      </c>
      <c r="E161" s="174">
        <v>3511</v>
      </c>
      <c r="F161" s="174">
        <f t="shared" si="85"/>
        <v>702.2</v>
      </c>
      <c r="G161" s="174"/>
      <c r="H161" s="175">
        <v>30</v>
      </c>
      <c r="I161" s="174">
        <f t="shared" si="86"/>
        <v>1263.96</v>
      </c>
      <c r="J161" s="175">
        <v>30</v>
      </c>
      <c r="K161" s="174">
        <f t="shared" si="87"/>
        <v>1263.96</v>
      </c>
      <c r="L161" s="174">
        <f t="shared" si="88"/>
        <v>60670.080000000002</v>
      </c>
      <c r="M161" s="66"/>
      <c r="N161" s="66"/>
    </row>
    <row r="162" spans="1:14" ht="13.15" x14ac:dyDescent="0.2">
      <c r="A162" s="64" t="s">
        <v>412</v>
      </c>
      <c r="B162" s="154" t="s">
        <v>614</v>
      </c>
      <c r="C162" s="111">
        <v>2</v>
      </c>
      <c r="D162" s="174">
        <f t="shared" si="84"/>
        <v>10149.95311776</v>
      </c>
      <c r="E162" s="174">
        <v>5094</v>
      </c>
      <c r="F162" s="174">
        <f t="shared" si="85"/>
        <v>1018.8000000000001</v>
      </c>
      <c r="G162" s="174">
        <f>E162*0.0453319</f>
        <v>230.92069860000001</v>
      </c>
      <c r="H162" s="175">
        <v>30</v>
      </c>
      <c r="I162" s="174">
        <f t="shared" si="86"/>
        <v>1903.11620958</v>
      </c>
      <c r="J162" s="175">
        <v>30</v>
      </c>
      <c r="K162" s="174">
        <f t="shared" si="87"/>
        <v>1903.11620958</v>
      </c>
      <c r="L162" s="174">
        <f t="shared" si="88"/>
        <v>243598.87482624</v>
      </c>
      <c r="M162" s="66"/>
      <c r="N162" s="66"/>
    </row>
    <row r="163" spans="1:14" ht="26.3" x14ac:dyDescent="0.2">
      <c r="A163" s="64" t="s">
        <v>641</v>
      </c>
      <c r="B163" s="154" t="s">
        <v>615</v>
      </c>
      <c r="C163" s="111">
        <v>7.5</v>
      </c>
      <c r="D163" s="174">
        <f t="shared" si="84"/>
        <v>14261.76</v>
      </c>
      <c r="E163" s="174">
        <v>7428</v>
      </c>
      <c r="F163" s="174">
        <f t="shared" si="85"/>
        <v>1485.6000000000001</v>
      </c>
      <c r="G163" s="174"/>
      <c r="H163" s="175">
        <v>30</v>
      </c>
      <c r="I163" s="174">
        <f t="shared" si="86"/>
        <v>2674.08</v>
      </c>
      <c r="J163" s="175">
        <v>30</v>
      </c>
      <c r="K163" s="174">
        <f t="shared" si="87"/>
        <v>2674.08</v>
      </c>
      <c r="L163" s="174">
        <f t="shared" si="88"/>
        <v>1283558.3999999999</v>
      </c>
      <c r="M163" s="66"/>
      <c r="N163" s="66"/>
    </row>
    <row r="164" spans="1:14" ht="13.15" x14ac:dyDescent="0.2">
      <c r="A164" s="64" t="s">
        <v>416</v>
      </c>
      <c r="B164" s="154" t="s">
        <v>616</v>
      </c>
      <c r="C164" s="111">
        <v>1</v>
      </c>
      <c r="D164" s="174">
        <v>0</v>
      </c>
      <c r="E164" s="174">
        <v>4524</v>
      </c>
      <c r="F164" s="174">
        <v>0</v>
      </c>
      <c r="G164" s="174"/>
      <c r="H164" s="175">
        <v>0</v>
      </c>
      <c r="I164" s="174">
        <f t="shared" si="86"/>
        <v>0</v>
      </c>
      <c r="J164" s="175">
        <v>0</v>
      </c>
      <c r="K164" s="174">
        <f t="shared" si="87"/>
        <v>0</v>
      </c>
      <c r="L164" s="174">
        <f t="shared" si="88"/>
        <v>0</v>
      </c>
      <c r="M164" s="66"/>
      <c r="N164" s="66"/>
    </row>
    <row r="165" spans="1:14" ht="26.3" x14ac:dyDescent="0.2">
      <c r="A165" s="64" t="s">
        <v>642</v>
      </c>
      <c r="B165" s="154" t="s">
        <v>617</v>
      </c>
      <c r="C165" s="111">
        <v>0.42</v>
      </c>
      <c r="D165" s="174">
        <v>0</v>
      </c>
      <c r="E165" s="174">
        <v>4524</v>
      </c>
      <c r="F165" s="174">
        <v>0</v>
      </c>
      <c r="G165" s="174"/>
      <c r="H165" s="175">
        <v>0</v>
      </c>
      <c r="I165" s="174">
        <f t="shared" si="86"/>
        <v>0</v>
      </c>
      <c r="J165" s="175">
        <v>0</v>
      </c>
      <c r="K165" s="174">
        <f t="shared" si="87"/>
        <v>0</v>
      </c>
      <c r="L165" s="174">
        <f t="shared" si="88"/>
        <v>0</v>
      </c>
      <c r="M165" s="66"/>
      <c r="N165" s="66"/>
    </row>
    <row r="166" spans="1:14" ht="26.3" x14ac:dyDescent="0.2">
      <c r="A166" s="64" t="s">
        <v>643</v>
      </c>
      <c r="B166" s="154" t="s">
        <v>618</v>
      </c>
      <c r="C166" s="111">
        <v>3</v>
      </c>
      <c r="D166" s="174">
        <v>0</v>
      </c>
      <c r="E166" s="174">
        <v>3511</v>
      </c>
      <c r="F166" s="174">
        <v>0</v>
      </c>
      <c r="G166" s="174"/>
      <c r="H166" s="175">
        <v>0</v>
      </c>
      <c r="I166" s="174">
        <f t="shared" si="86"/>
        <v>0</v>
      </c>
      <c r="J166" s="175">
        <v>0</v>
      </c>
      <c r="K166" s="174">
        <f t="shared" si="87"/>
        <v>0</v>
      </c>
      <c r="L166" s="174">
        <f t="shared" si="88"/>
        <v>0</v>
      </c>
      <c r="M166" s="66"/>
      <c r="N166" s="66"/>
    </row>
    <row r="167" spans="1:14" ht="26.3" x14ac:dyDescent="0.2">
      <c r="A167" s="64" t="s">
        <v>644</v>
      </c>
      <c r="B167" s="154" t="s">
        <v>619</v>
      </c>
      <c r="C167" s="111">
        <v>0.83</v>
      </c>
      <c r="D167" s="174">
        <v>0</v>
      </c>
      <c r="E167" s="174">
        <v>5267</v>
      </c>
      <c r="F167" s="174">
        <v>0</v>
      </c>
      <c r="G167" s="174"/>
      <c r="H167" s="175">
        <v>0</v>
      </c>
      <c r="I167" s="174">
        <f t="shared" si="86"/>
        <v>0</v>
      </c>
      <c r="J167" s="175">
        <v>0</v>
      </c>
      <c r="K167" s="174">
        <f t="shared" si="87"/>
        <v>0</v>
      </c>
      <c r="L167" s="174">
        <f t="shared" si="88"/>
        <v>0</v>
      </c>
      <c r="M167" s="66"/>
      <c r="N167" s="66"/>
    </row>
    <row r="168" spans="1:14" ht="13.15" x14ac:dyDescent="0.2">
      <c r="A168" s="12" t="s">
        <v>121</v>
      </c>
      <c r="B168" s="12">
        <v>2110</v>
      </c>
      <c r="C168" s="10">
        <f>SUM(C127:C167)</f>
        <v>57.75</v>
      </c>
      <c r="D168" s="49" t="s">
        <v>1</v>
      </c>
      <c r="E168" s="49" t="s">
        <v>1</v>
      </c>
      <c r="F168" s="49" t="s">
        <v>1</v>
      </c>
      <c r="G168" s="49" t="s">
        <v>1</v>
      </c>
      <c r="H168" s="49" t="s">
        <v>1</v>
      </c>
      <c r="I168" s="49" t="s">
        <v>1</v>
      </c>
      <c r="J168" s="49" t="s">
        <v>1</v>
      </c>
      <c r="K168" s="49" t="s">
        <v>1</v>
      </c>
      <c r="L168" s="155">
        <f>SUM(L127:L167)-2081993</f>
        <v>7221504.9980262388</v>
      </c>
      <c r="M168" s="66"/>
      <c r="N168" s="66"/>
    </row>
    <row r="169" spans="1:14" ht="13.15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ht="15.85" customHeight="1" x14ac:dyDescent="0.2">
      <c r="A170" s="278" t="s">
        <v>388</v>
      </c>
      <c r="B170" s="278"/>
      <c r="C170" s="278"/>
      <c r="D170" s="278"/>
      <c r="E170" s="278"/>
      <c r="F170" s="278"/>
      <c r="G170" s="278"/>
      <c r="H170" s="278"/>
      <c r="I170" s="278"/>
      <c r="J170" s="278"/>
      <c r="K170" s="278"/>
      <c r="L170" s="278"/>
      <c r="M170" s="278"/>
      <c r="N170" s="278"/>
    </row>
    <row r="171" spans="1:14" ht="13.15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ht="20.2" customHeight="1" x14ac:dyDescent="0.2">
      <c r="A172" s="273" t="s">
        <v>461</v>
      </c>
      <c r="B172" s="273"/>
      <c r="C172" s="273"/>
      <c r="D172" s="273"/>
      <c r="E172" s="273"/>
      <c r="F172" s="273"/>
      <c r="G172" s="273"/>
      <c r="H172" s="273"/>
      <c r="I172" s="273"/>
      <c r="J172" s="273"/>
      <c r="K172" s="273"/>
      <c r="L172" s="273"/>
      <c r="M172" s="273"/>
      <c r="N172" s="273"/>
    </row>
    <row r="173" spans="1:14" ht="14.25" customHeight="1" x14ac:dyDescent="0.25">
      <c r="A173" s="247" t="s">
        <v>10</v>
      </c>
      <c r="B173" s="248" t="s">
        <v>11</v>
      </c>
      <c r="C173" s="247" t="s">
        <v>81</v>
      </c>
      <c r="D173" s="247"/>
      <c r="E173" s="247"/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ht="15.05" customHeight="1" x14ac:dyDescent="0.25">
      <c r="A174" s="247"/>
      <c r="B174" s="248"/>
      <c r="C174" s="142" t="s">
        <v>9</v>
      </c>
      <c r="D174" s="142" t="s">
        <v>571</v>
      </c>
      <c r="E174" s="142" t="s">
        <v>630</v>
      </c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ht="39.450000000000003" x14ac:dyDescent="0.25">
      <c r="A175" s="247"/>
      <c r="B175" s="248"/>
      <c r="C175" s="37" t="s">
        <v>82</v>
      </c>
      <c r="D175" s="37" t="s">
        <v>83</v>
      </c>
      <c r="E175" s="37" t="s">
        <v>84</v>
      </c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13.15" x14ac:dyDescent="0.25">
      <c r="A176" s="12" t="s">
        <v>19</v>
      </c>
      <c r="B176" s="12" t="s">
        <v>20</v>
      </c>
      <c r="C176" s="12" t="s">
        <v>21</v>
      </c>
      <c r="D176" s="12" t="s">
        <v>22</v>
      </c>
      <c r="E176" s="12" t="s">
        <v>23</v>
      </c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1:14" ht="26.3" hidden="1" x14ac:dyDescent="0.25">
      <c r="A177" s="15" t="s">
        <v>173</v>
      </c>
      <c r="B177" s="95" t="s">
        <v>86</v>
      </c>
      <c r="C177" s="19">
        <v>0</v>
      </c>
      <c r="D177" s="19">
        <v>0</v>
      </c>
      <c r="E177" s="19">
        <v>0</v>
      </c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40.549999999999997" hidden="1" customHeight="1" x14ac:dyDescent="0.25">
      <c r="A178" s="15" t="s">
        <v>174</v>
      </c>
      <c r="B178" s="95" t="s">
        <v>88</v>
      </c>
      <c r="C178" s="19">
        <v>0</v>
      </c>
      <c r="D178" s="19">
        <v>0</v>
      </c>
      <c r="E178" s="19">
        <v>0</v>
      </c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27.1" customHeight="1" x14ac:dyDescent="0.25">
      <c r="A179" s="15" t="s">
        <v>175</v>
      </c>
      <c r="B179" s="95" t="s">
        <v>90</v>
      </c>
      <c r="C179" s="19">
        <f>F200</f>
        <v>3271801.9986023451</v>
      </c>
      <c r="D179" s="19">
        <f>G200</f>
        <v>2186672.0034023453</v>
      </c>
      <c r="E179" s="19">
        <f>H200</f>
        <v>2186672.0034023453</v>
      </c>
      <c r="F179" s="23"/>
      <c r="G179" s="23"/>
      <c r="H179" s="23"/>
      <c r="I179" s="23"/>
      <c r="J179" s="23"/>
      <c r="K179" s="23"/>
      <c r="L179" s="23"/>
      <c r="M179" s="23"/>
      <c r="N179" s="23"/>
    </row>
    <row r="180" spans="1:14" ht="40.549999999999997" hidden="1" customHeight="1" x14ac:dyDescent="0.25">
      <c r="A180" s="15" t="s">
        <v>176</v>
      </c>
      <c r="B180" s="95" t="s">
        <v>108</v>
      </c>
      <c r="C180" s="19">
        <v>0</v>
      </c>
      <c r="D180" s="19">
        <v>0</v>
      </c>
      <c r="E180" s="19">
        <v>0</v>
      </c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ht="40.549999999999997" hidden="1" customHeight="1" x14ac:dyDescent="0.25">
      <c r="A181" s="15" t="s">
        <v>177</v>
      </c>
      <c r="B181" s="95" t="s">
        <v>110</v>
      </c>
      <c r="C181" s="19">
        <v>0</v>
      </c>
      <c r="D181" s="19">
        <v>0</v>
      </c>
      <c r="E181" s="19">
        <v>0</v>
      </c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1:14" ht="51.85" customHeight="1" x14ac:dyDescent="0.25">
      <c r="A182" s="15" t="s">
        <v>178</v>
      </c>
      <c r="B182" s="95" t="s">
        <v>112</v>
      </c>
      <c r="C182" s="43">
        <f>C179</f>
        <v>3271801.9986023451</v>
      </c>
      <c r="D182" s="43">
        <f t="shared" ref="D182:E182" si="89">D179</f>
        <v>2186672.0034023453</v>
      </c>
      <c r="E182" s="43">
        <f t="shared" si="89"/>
        <v>2186672.0034023453</v>
      </c>
      <c r="F182" s="23"/>
      <c r="G182" s="23"/>
      <c r="H182" s="23"/>
      <c r="I182" s="23"/>
      <c r="J182" s="23"/>
      <c r="K182" s="23"/>
      <c r="L182" s="23"/>
      <c r="M182" s="23"/>
      <c r="N182" s="23"/>
    </row>
    <row r="183" spans="1:14" ht="13.1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</row>
    <row r="184" spans="1:14" ht="18" customHeight="1" x14ac:dyDescent="0.25">
      <c r="A184" s="272" t="s">
        <v>460</v>
      </c>
      <c r="B184" s="272"/>
      <c r="C184" s="272"/>
      <c r="D184" s="272"/>
      <c r="E184" s="272"/>
      <c r="F184" s="272"/>
      <c r="G184" s="272"/>
      <c r="H184" s="272"/>
      <c r="I184" s="272"/>
      <c r="J184" s="272"/>
      <c r="K184" s="272"/>
      <c r="L184" s="23"/>
      <c r="M184" s="23"/>
      <c r="N184" s="23"/>
    </row>
    <row r="185" spans="1:14" ht="13.15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</row>
    <row r="186" spans="1:14" ht="26.3" customHeight="1" x14ac:dyDescent="0.25">
      <c r="A186" s="245" t="s">
        <v>179</v>
      </c>
      <c r="B186" s="248" t="s">
        <v>11</v>
      </c>
      <c r="C186" s="248" t="s">
        <v>180</v>
      </c>
      <c r="D186" s="248"/>
      <c r="E186" s="248"/>
      <c r="F186" s="261" t="s">
        <v>181</v>
      </c>
      <c r="G186" s="261"/>
      <c r="H186" s="261"/>
      <c r="I186" s="23"/>
      <c r="J186" s="23"/>
      <c r="K186" s="23"/>
      <c r="L186" s="23"/>
      <c r="M186" s="23"/>
      <c r="N186" s="23"/>
    </row>
    <row r="187" spans="1:14" ht="15.85" customHeight="1" x14ac:dyDescent="0.25">
      <c r="A187" s="245"/>
      <c r="B187" s="248"/>
      <c r="C187" s="144" t="s">
        <v>9</v>
      </c>
      <c r="D187" s="144" t="s">
        <v>571</v>
      </c>
      <c r="E187" s="144" t="s">
        <v>630</v>
      </c>
      <c r="F187" s="144" t="s">
        <v>9</v>
      </c>
      <c r="G187" s="144" t="s">
        <v>571</v>
      </c>
      <c r="H187" s="144" t="s">
        <v>630</v>
      </c>
      <c r="I187" s="23"/>
      <c r="J187" s="23"/>
      <c r="K187" s="23"/>
      <c r="L187" s="23"/>
      <c r="M187" s="23"/>
      <c r="N187" s="23"/>
    </row>
    <row r="188" spans="1:14" ht="39.799999999999997" customHeight="1" x14ac:dyDescent="0.25">
      <c r="A188" s="245"/>
      <c r="B188" s="248"/>
      <c r="C188" s="37" t="s">
        <v>82</v>
      </c>
      <c r="D188" s="37" t="s">
        <v>83</v>
      </c>
      <c r="E188" s="37" t="s">
        <v>84</v>
      </c>
      <c r="F188" s="37" t="s">
        <v>82</v>
      </c>
      <c r="G188" s="37" t="s">
        <v>83</v>
      </c>
      <c r="H188" s="37" t="s">
        <v>84</v>
      </c>
      <c r="I188" s="23"/>
      <c r="J188" s="23"/>
      <c r="K188" s="23"/>
      <c r="L188" s="23"/>
      <c r="M188" s="23"/>
      <c r="N188" s="23"/>
    </row>
    <row r="189" spans="1:14" ht="13.15" x14ac:dyDescent="0.25">
      <c r="A189" s="12" t="s">
        <v>19</v>
      </c>
      <c r="B189" s="12" t="s">
        <v>20</v>
      </c>
      <c r="C189" s="12" t="s">
        <v>21</v>
      </c>
      <c r="D189" s="12" t="s">
        <v>22</v>
      </c>
      <c r="E189" s="12" t="s">
        <v>23</v>
      </c>
      <c r="F189" s="12" t="s">
        <v>24</v>
      </c>
      <c r="G189" s="12" t="s">
        <v>25</v>
      </c>
      <c r="H189" s="12" t="s">
        <v>26</v>
      </c>
      <c r="I189" s="23"/>
      <c r="J189" s="23"/>
      <c r="K189" s="23"/>
      <c r="L189" s="23"/>
      <c r="M189" s="23"/>
      <c r="N189" s="23"/>
    </row>
    <row r="190" spans="1:14" ht="27.1" customHeight="1" x14ac:dyDescent="0.25">
      <c r="A190" s="5" t="s">
        <v>182</v>
      </c>
      <c r="B190" s="12" t="s">
        <v>86</v>
      </c>
      <c r="C190" s="19">
        <v>0</v>
      </c>
      <c r="D190" s="19">
        <v>0</v>
      </c>
      <c r="E190" s="19">
        <v>0</v>
      </c>
      <c r="F190" s="19">
        <f>SUM(F191:F192)</f>
        <v>2377136.0795657723</v>
      </c>
      <c r="G190" s="19">
        <f t="shared" ref="G190:H190" si="90">SUM(G191:G192)</f>
        <v>1588731.0995657726</v>
      </c>
      <c r="H190" s="19">
        <f t="shared" si="90"/>
        <v>1588731.0995657726</v>
      </c>
      <c r="I190" s="23"/>
      <c r="J190" s="107"/>
      <c r="K190" s="23"/>
      <c r="L190" s="23"/>
      <c r="M190" s="23"/>
      <c r="N190" s="23"/>
    </row>
    <row r="191" spans="1:14" ht="15.05" customHeight="1" x14ac:dyDescent="0.25">
      <c r="A191" s="5" t="s">
        <v>183</v>
      </c>
      <c r="B191" s="12" t="s">
        <v>184</v>
      </c>
      <c r="C191" s="19">
        <f>L68</f>
        <v>10680163.998026239</v>
      </c>
      <c r="D191" s="19">
        <f>L118</f>
        <v>7221504.9980262388</v>
      </c>
      <c r="E191" s="19">
        <f>L168</f>
        <v>7221504.9980262388</v>
      </c>
      <c r="F191" s="19">
        <f>C191*22%+27500</f>
        <v>2377136.0795657723</v>
      </c>
      <c r="G191" s="19">
        <f t="shared" ref="G191:H191" si="91">D191*22%</f>
        <v>1588731.0995657726</v>
      </c>
      <c r="H191" s="19">
        <f t="shared" si="91"/>
        <v>1588731.0995657726</v>
      </c>
      <c r="I191" s="23"/>
      <c r="J191" s="107"/>
      <c r="K191" s="23"/>
      <c r="L191" s="23"/>
      <c r="M191" s="23"/>
      <c r="N191" s="23"/>
    </row>
    <row r="192" spans="1:14" ht="15.85" customHeight="1" x14ac:dyDescent="0.25">
      <c r="A192" s="2" t="s">
        <v>185</v>
      </c>
      <c r="B192" s="38" t="s">
        <v>186</v>
      </c>
      <c r="C192" s="19">
        <f>L70</f>
        <v>0</v>
      </c>
      <c r="D192" s="19">
        <v>0</v>
      </c>
      <c r="E192" s="19">
        <v>0</v>
      </c>
      <c r="F192" s="19">
        <f>C192*0.1</f>
        <v>0</v>
      </c>
      <c r="G192" s="19">
        <v>0</v>
      </c>
      <c r="H192" s="19">
        <v>0</v>
      </c>
      <c r="I192" s="23"/>
      <c r="J192" s="107"/>
      <c r="K192" s="23"/>
      <c r="L192" s="23"/>
      <c r="M192" s="23"/>
      <c r="N192" s="23"/>
    </row>
    <row r="193" spans="1:14" ht="29.3" customHeight="1" x14ac:dyDescent="0.25">
      <c r="A193" s="5" t="s">
        <v>189</v>
      </c>
      <c r="B193" s="12" t="s">
        <v>88</v>
      </c>
      <c r="C193" s="19">
        <v>0</v>
      </c>
      <c r="D193" s="19">
        <v>0</v>
      </c>
      <c r="E193" s="19">
        <v>0</v>
      </c>
      <c r="F193" s="19">
        <f>SUM(F194:F195)</f>
        <v>343603.10513723438</v>
      </c>
      <c r="G193" s="19">
        <f>SUM(G194:G195)</f>
        <v>229643.85893723438</v>
      </c>
      <c r="H193" s="19">
        <f>SUM(H194:H195)</f>
        <v>229643.85893723438</v>
      </c>
      <c r="I193" s="23"/>
      <c r="J193" s="107"/>
      <c r="K193" s="23"/>
      <c r="L193" s="23"/>
      <c r="M193" s="23"/>
      <c r="N193" s="23"/>
    </row>
    <row r="194" spans="1:14" ht="53.25" customHeight="1" x14ac:dyDescent="0.25">
      <c r="A194" s="5" t="s">
        <v>190</v>
      </c>
      <c r="B194" s="11" t="s">
        <v>191</v>
      </c>
      <c r="C194" s="19">
        <f>L68</f>
        <v>10680163.998026239</v>
      </c>
      <c r="D194" s="19">
        <f>L118</f>
        <v>7221504.9980262388</v>
      </c>
      <c r="E194" s="19">
        <f>L168</f>
        <v>7221504.9980262388</v>
      </c>
      <c r="F194" s="19">
        <f>C194*2.9%+3625-0.66</f>
        <v>313349.09594276093</v>
      </c>
      <c r="G194" s="19">
        <f t="shared" ref="G194:H194" si="92">D194*2.9%</f>
        <v>209423.6449427609</v>
      </c>
      <c r="H194" s="19">
        <f t="shared" si="92"/>
        <v>209423.6449427609</v>
      </c>
      <c r="I194" s="23"/>
      <c r="J194" s="107"/>
      <c r="K194" s="23"/>
      <c r="L194" s="23"/>
      <c r="M194" s="23"/>
      <c r="N194" s="23"/>
    </row>
    <row r="195" spans="1:14" ht="56.2" customHeight="1" x14ac:dyDescent="0.25">
      <c r="A195" s="5" t="s">
        <v>389</v>
      </c>
      <c r="B195" s="11" t="s">
        <v>194</v>
      </c>
      <c r="C195" s="19">
        <f>L68</f>
        <v>10680163.998026239</v>
      </c>
      <c r="D195" s="19">
        <f>L118</f>
        <v>7221504.9980262388</v>
      </c>
      <c r="E195" s="19">
        <f>L168</f>
        <v>7221504.9980262388</v>
      </c>
      <c r="F195" s="19">
        <f>C195*0.28%+350-0.45</f>
        <v>30254.00919447347</v>
      </c>
      <c r="G195" s="19">
        <f t="shared" ref="G195:H195" si="93">D195*0.28%</f>
        <v>20220.21399447347</v>
      </c>
      <c r="H195" s="19">
        <f t="shared" si="93"/>
        <v>20220.21399447347</v>
      </c>
      <c r="I195" s="23"/>
      <c r="J195" s="107"/>
      <c r="K195" s="23"/>
      <c r="L195" s="23"/>
      <c r="M195" s="23"/>
      <c r="N195" s="23"/>
    </row>
    <row r="196" spans="1:14" ht="52.45" hidden="1" customHeight="1" x14ac:dyDescent="0.25">
      <c r="A196" s="6" t="s">
        <v>195</v>
      </c>
      <c r="B196" s="11" t="s">
        <v>196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23">
        <v>0</v>
      </c>
      <c r="J196" s="107"/>
      <c r="K196" s="23"/>
      <c r="L196" s="23"/>
      <c r="M196" s="23"/>
      <c r="N196" s="23"/>
    </row>
    <row r="197" spans="1:14" ht="52.6" hidden="1" x14ac:dyDescent="0.25">
      <c r="A197" s="6" t="s">
        <v>195</v>
      </c>
      <c r="B197" s="14"/>
      <c r="C197" s="19">
        <v>0</v>
      </c>
      <c r="D197" s="19">
        <v>0</v>
      </c>
      <c r="E197" s="19">
        <v>0</v>
      </c>
      <c r="F197" s="19">
        <v>0</v>
      </c>
      <c r="G197" s="19">
        <v>0</v>
      </c>
      <c r="H197" s="19">
        <v>0</v>
      </c>
      <c r="I197" s="23">
        <v>0</v>
      </c>
      <c r="J197" s="107"/>
      <c r="K197" s="23"/>
      <c r="L197" s="23"/>
      <c r="M197" s="23"/>
      <c r="N197" s="23"/>
    </row>
    <row r="198" spans="1:14" ht="42.75" hidden="1" customHeight="1" x14ac:dyDescent="0.25">
      <c r="A198" s="5" t="s">
        <v>197</v>
      </c>
      <c r="B198" s="11" t="s">
        <v>90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23">
        <v>0</v>
      </c>
      <c r="J198" s="107"/>
      <c r="K198" s="23"/>
      <c r="L198" s="23"/>
      <c r="M198" s="23"/>
      <c r="N198" s="23"/>
    </row>
    <row r="199" spans="1:14" ht="39.450000000000003" x14ac:dyDescent="0.25">
      <c r="A199" s="5" t="s">
        <v>198</v>
      </c>
      <c r="B199" s="11" t="s">
        <v>91</v>
      </c>
      <c r="C199" s="19">
        <f>L68</f>
        <v>10680163.998026239</v>
      </c>
      <c r="D199" s="19">
        <f>L118</f>
        <v>7221504.9980262388</v>
      </c>
      <c r="E199" s="19">
        <f>L168</f>
        <v>7221504.9980262388</v>
      </c>
      <c r="F199" s="19">
        <f>C199*5.1%+6375-0.36-0.19</f>
        <v>551062.81389933825</v>
      </c>
      <c r="G199" s="19">
        <f t="shared" ref="G199:H199" si="94">D199*5.1%</f>
        <v>368296.75489933818</v>
      </c>
      <c r="H199" s="19">
        <f t="shared" si="94"/>
        <v>368296.75489933818</v>
      </c>
      <c r="I199" s="23"/>
      <c r="J199" s="107"/>
      <c r="K199" s="23"/>
      <c r="L199" s="23"/>
      <c r="M199" s="23"/>
      <c r="N199" s="23"/>
    </row>
    <row r="200" spans="1:14" ht="15.05" customHeight="1" x14ac:dyDescent="0.25">
      <c r="A200" s="2" t="s">
        <v>121</v>
      </c>
      <c r="B200" s="12">
        <v>2141</v>
      </c>
      <c r="C200" s="19" t="s">
        <v>1</v>
      </c>
      <c r="D200" s="19" t="s">
        <v>1</v>
      </c>
      <c r="E200" s="19" t="s">
        <v>1</v>
      </c>
      <c r="F200" s="43">
        <f>F190+F193+F199</f>
        <v>3271801.9986023451</v>
      </c>
      <c r="G200" s="153">
        <f>G190+G193+G199+0.29</f>
        <v>2186672.0034023453</v>
      </c>
      <c r="H200" s="176">
        <f>H190+H193+H199+0.29</f>
        <v>2186672.0034023453</v>
      </c>
      <c r="I200" s="23"/>
      <c r="J200" s="107"/>
      <c r="K200" s="23"/>
      <c r="L200" s="23"/>
      <c r="M200" s="23"/>
      <c r="N200" s="23"/>
    </row>
    <row r="201" spans="1:14" ht="28.5" customHeight="1" x14ac:dyDescent="0.25">
      <c r="A201" s="275" t="s">
        <v>390</v>
      </c>
      <c r="B201" s="275"/>
      <c r="C201" s="275"/>
      <c r="D201" s="275"/>
      <c r="E201" s="275"/>
      <c r="F201" s="275"/>
      <c r="G201" s="275"/>
      <c r="H201" s="275"/>
      <c r="I201" s="275"/>
      <c r="J201" s="275"/>
      <c r="K201" s="275"/>
      <c r="L201" s="23"/>
      <c r="M201" s="23"/>
      <c r="N201" s="23"/>
    </row>
    <row r="202" spans="1:14" ht="13.15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</row>
    <row r="203" spans="1:14" ht="12.7" customHeight="1" x14ac:dyDescent="0.25">
      <c r="A203" s="275" t="s">
        <v>590</v>
      </c>
      <c r="B203" s="275"/>
      <c r="C203" s="275"/>
      <c r="D203" s="275"/>
      <c r="E203" s="275"/>
      <c r="F203" s="275"/>
      <c r="G203" s="275"/>
      <c r="H203" s="275"/>
      <c r="I203" s="275"/>
      <c r="J203" s="275"/>
      <c r="K203" s="275"/>
      <c r="L203" s="275"/>
      <c r="M203" s="275"/>
      <c r="N203" s="23"/>
    </row>
    <row r="204" spans="1:14" ht="13.15" x14ac:dyDescent="0.25">
      <c r="A204" s="118"/>
      <c r="B204" s="118"/>
      <c r="C204" s="118"/>
      <c r="D204" s="118"/>
      <c r="E204" s="118"/>
      <c r="F204" s="118"/>
      <c r="G204" s="118"/>
      <c r="H204" s="119"/>
      <c r="I204" s="119"/>
      <c r="J204" s="119"/>
      <c r="K204" s="119"/>
      <c r="L204" s="119"/>
      <c r="M204" s="119"/>
      <c r="N204" s="23"/>
    </row>
    <row r="205" spans="1:14" ht="12.7" customHeight="1" x14ac:dyDescent="0.25">
      <c r="A205" s="245" t="s">
        <v>199</v>
      </c>
      <c r="B205" s="276" t="s">
        <v>11</v>
      </c>
      <c r="C205" s="276" t="s">
        <v>201</v>
      </c>
      <c r="D205" s="276"/>
      <c r="E205" s="276"/>
      <c r="F205" s="276" t="s">
        <v>591</v>
      </c>
      <c r="G205" s="276"/>
      <c r="H205" s="276"/>
      <c r="I205" s="277" t="s">
        <v>81</v>
      </c>
      <c r="J205" s="277"/>
      <c r="K205" s="277"/>
      <c r="L205" s="279" t="s">
        <v>672</v>
      </c>
      <c r="M205" s="119"/>
      <c r="N205" s="23"/>
    </row>
    <row r="206" spans="1:14" ht="13.15" x14ac:dyDescent="0.25">
      <c r="A206" s="245"/>
      <c r="B206" s="276"/>
      <c r="C206" s="179" t="s">
        <v>9</v>
      </c>
      <c r="D206" s="179" t="s">
        <v>571</v>
      </c>
      <c r="E206" s="179" t="s">
        <v>630</v>
      </c>
      <c r="F206" s="179" t="s">
        <v>9</v>
      </c>
      <c r="G206" s="179" t="s">
        <v>571</v>
      </c>
      <c r="H206" s="179" t="s">
        <v>630</v>
      </c>
      <c r="I206" s="179" t="s">
        <v>9</v>
      </c>
      <c r="J206" s="179" t="s">
        <v>571</v>
      </c>
      <c r="K206" s="179" t="s">
        <v>630</v>
      </c>
      <c r="L206" s="280"/>
      <c r="M206" s="119"/>
      <c r="N206" s="23"/>
    </row>
    <row r="207" spans="1:14" ht="39.450000000000003" x14ac:dyDescent="0.25">
      <c r="A207" s="245"/>
      <c r="B207" s="276"/>
      <c r="C207" s="120" t="s">
        <v>82</v>
      </c>
      <c r="D207" s="120" t="s">
        <v>83</v>
      </c>
      <c r="E207" s="120" t="s">
        <v>84</v>
      </c>
      <c r="F207" s="120" t="s">
        <v>82</v>
      </c>
      <c r="G207" s="120" t="s">
        <v>83</v>
      </c>
      <c r="H207" s="120" t="s">
        <v>84</v>
      </c>
      <c r="I207" s="120" t="s">
        <v>82</v>
      </c>
      <c r="J207" s="120" t="s">
        <v>83</v>
      </c>
      <c r="K207" s="120" t="s">
        <v>84</v>
      </c>
      <c r="L207" s="281"/>
      <c r="M207" s="119"/>
      <c r="N207" s="23"/>
    </row>
    <row r="208" spans="1:14" ht="13.15" x14ac:dyDescent="0.25">
      <c r="A208" s="115" t="s">
        <v>19</v>
      </c>
      <c r="B208" s="112" t="s">
        <v>20</v>
      </c>
      <c r="C208" s="112" t="s">
        <v>21</v>
      </c>
      <c r="D208" s="112" t="s">
        <v>22</v>
      </c>
      <c r="E208" s="112" t="s">
        <v>23</v>
      </c>
      <c r="F208" s="112" t="s">
        <v>24</v>
      </c>
      <c r="G208" s="112" t="s">
        <v>26</v>
      </c>
      <c r="H208" s="112" t="s">
        <v>27</v>
      </c>
      <c r="I208" s="112" t="s">
        <v>28</v>
      </c>
      <c r="J208" s="112" t="s">
        <v>29</v>
      </c>
      <c r="K208" s="114">
        <v>12</v>
      </c>
      <c r="L208" s="180">
        <v>13</v>
      </c>
      <c r="M208" s="119"/>
      <c r="N208" s="23"/>
    </row>
    <row r="209" spans="1:14" ht="39.450000000000003" x14ac:dyDescent="0.25">
      <c r="A209" s="15" t="s">
        <v>690</v>
      </c>
      <c r="B209" s="179" t="s">
        <v>31</v>
      </c>
      <c r="C209" s="112">
        <v>1</v>
      </c>
      <c r="D209" s="112">
        <v>0</v>
      </c>
      <c r="E209" s="112">
        <v>0</v>
      </c>
      <c r="F209" s="112">
        <v>125000</v>
      </c>
      <c r="G209" s="112">
        <v>0</v>
      </c>
      <c r="H209" s="112">
        <v>0</v>
      </c>
      <c r="I209" s="112">
        <f>C209*F209</f>
        <v>125000</v>
      </c>
      <c r="J209" s="112">
        <v>0</v>
      </c>
      <c r="K209" s="112">
        <v>0</v>
      </c>
      <c r="L209" s="178">
        <v>34532.660000000003</v>
      </c>
      <c r="M209" s="23"/>
      <c r="N209" s="23"/>
    </row>
    <row r="210" spans="1:14" ht="13.15" x14ac:dyDescent="0.25">
      <c r="A210" s="115" t="s">
        <v>121</v>
      </c>
      <c r="B210" s="112" t="s">
        <v>1</v>
      </c>
      <c r="C210" s="112" t="s">
        <v>1</v>
      </c>
      <c r="D210" s="112" t="s">
        <v>1</v>
      </c>
      <c r="E210" s="112" t="s">
        <v>1</v>
      </c>
      <c r="F210" s="112" t="s">
        <v>1</v>
      </c>
      <c r="G210" s="112" t="s">
        <v>1</v>
      </c>
      <c r="H210" s="112" t="s">
        <v>1</v>
      </c>
      <c r="I210" s="113">
        <f>SUM(I209)</f>
        <v>125000</v>
      </c>
      <c r="J210" s="112">
        <f>SUM(J209)</f>
        <v>0</v>
      </c>
      <c r="K210" s="121">
        <f>SUM(K209)</f>
        <v>0</v>
      </c>
      <c r="L210" s="181">
        <f>SUM(L209)</f>
        <v>34532.660000000003</v>
      </c>
      <c r="M210" s="23"/>
      <c r="N210" s="23"/>
    </row>
    <row r="211" spans="1:14" ht="13.15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1:14" ht="15.05" customHeight="1" x14ac:dyDescent="0.25">
      <c r="A212" s="272" t="s">
        <v>391</v>
      </c>
      <c r="B212" s="272"/>
      <c r="C212" s="272"/>
      <c r="D212" s="272"/>
      <c r="E212" s="272"/>
      <c r="F212" s="272"/>
      <c r="G212" s="272"/>
      <c r="H212" s="272"/>
      <c r="I212" s="272"/>
      <c r="J212" s="272"/>
      <c r="K212" s="272"/>
      <c r="L212" s="23"/>
      <c r="M212" s="23"/>
      <c r="N212" s="23"/>
    </row>
    <row r="213" spans="1:14" ht="13.15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1:14" ht="14.25" customHeight="1" x14ac:dyDescent="0.25">
      <c r="A214" s="272" t="s">
        <v>459</v>
      </c>
      <c r="B214" s="272"/>
      <c r="C214" s="272"/>
      <c r="D214" s="272"/>
      <c r="E214" s="272"/>
      <c r="F214" s="272"/>
      <c r="G214" s="272"/>
      <c r="H214" s="272"/>
      <c r="I214" s="272"/>
      <c r="J214" s="272"/>
      <c r="K214" s="272"/>
      <c r="L214" s="23"/>
      <c r="M214" s="23"/>
      <c r="N214" s="23"/>
    </row>
    <row r="215" spans="1:14" ht="13.15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</row>
    <row r="216" spans="1:14" ht="27.1" customHeight="1" x14ac:dyDescent="0.2">
      <c r="A216" s="245" t="s">
        <v>199</v>
      </c>
      <c r="B216" s="248" t="s">
        <v>11</v>
      </c>
      <c r="C216" s="248" t="s">
        <v>200</v>
      </c>
      <c r="D216" s="248"/>
      <c r="E216" s="248"/>
      <c r="F216" s="261" t="s">
        <v>201</v>
      </c>
      <c r="G216" s="261"/>
      <c r="H216" s="261"/>
      <c r="I216" s="261" t="s">
        <v>202</v>
      </c>
      <c r="J216" s="261"/>
      <c r="K216" s="261"/>
      <c r="L216" s="261" t="s">
        <v>81</v>
      </c>
      <c r="M216" s="261"/>
      <c r="N216" s="261"/>
    </row>
    <row r="217" spans="1:14" ht="13.15" x14ac:dyDescent="0.2">
      <c r="A217" s="245"/>
      <c r="B217" s="248"/>
      <c r="C217" s="142" t="s">
        <v>9</v>
      </c>
      <c r="D217" s="142" t="s">
        <v>571</v>
      </c>
      <c r="E217" s="142" t="s">
        <v>630</v>
      </c>
      <c r="F217" s="142" t="s">
        <v>9</v>
      </c>
      <c r="G217" s="142" t="s">
        <v>571</v>
      </c>
      <c r="H217" s="142" t="s">
        <v>630</v>
      </c>
      <c r="I217" s="142" t="s">
        <v>9</v>
      </c>
      <c r="J217" s="142" t="s">
        <v>571</v>
      </c>
      <c r="K217" s="142" t="s">
        <v>630</v>
      </c>
      <c r="L217" s="142" t="s">
        <v>9</v>
      </c>
      <c r="M217" s="142" t="s">
        <v>571</v>
      </c>
      <c r="N217" s="142" t="s">
        <v>630</v>
      </c>
    </row>
    <row r="218" spans="1:14" ht="41.95" customHeight="1" x14ac:dyDescent="0.2">
      <c r="A218" s="245"/>
      <c r="B218" s="248"/>
      <c r="C218" s="37" t="s">
        <v>82</v>
      </c>
      <c r="D218" s="37" t="s">
        <v>83</v>
      </c>
      <c r="E218" s="37" t="s">
        <v>84</v>
      </c>
      <c r="F218" s="37" t="s">
        <v>82</v>
      </c>
      <c r="G218" s="37" t="s">
        <v>83</v>
      </c>
      <c r="H218" s="37" t="s">
        <v>84</v>
      </c>
      <c r="I218" s="37" t="s">
        <v>82</v>
      </c>
      <c r="J218" s="37" t="s">
        <v>83</v>
      </c>
      <c r="K218" s="37" t="s">
        <v>84</v>
      </c>
      <c r="L218" s="37" t="s">
        <v>82</v>
      </c>
      <c r="M218" s="37" t="s">
        <v>83</v>
      </c>
      <c r="N218" s="37" t="s">
        <v>84</v>
      </c>
    </row>
    <row r="219" spans="1:14" ht="13.15" x14ac:dyDescent="0.2">
      <c r="A219" s="12" t="s">
        <v>19</v>
      </c>
      <c r="B219" s="12" t="s">
        <v>20</v>
      </c>
      <c r="C219" s="12" t="s">
        <v>21</v>
      </c>
      <c r="D219" s="12" t="s">
        <v>22</v>
      </c>
      <c r="E219" s="12" t="s">
        <v>23</v>
      </c>
      <c r="F219" s="12" t="s">
        <v>24</v>
      </c>
      <c r="G219" s="12" t="s">
        <v>25</v>
      </c>
      <c r="H219" s="12" t="s">
        <v>26</v>
      </c>
      <c r="I219" s="12" t="s">
        <v>27</v>
      </c>
      <c r="J219" s="12" t="s">
        <v>28</v>
      </c>
      <c r="K219" s="12" t="s">
        <v>29</v>
      </c>
      <c r="L219" s="12" t="s">
        <v>172</v>
      </c>
      <c r="M219" s="12" t="s">
        <v>203</v>
      </c>
      <c r="N219" s="12" t="s">
        <v>204</v>
      </c>
    </row>
    <row r="220" spans="1:14" ht="26.3" customHeight="1" x14ac:dyDescent="0.2">
      <c r="A220" s="15" t="s">
        <v>393</v>
      </c>
      <c r="B220" s="12" t="s">
        <v>31</v>
      </c>
      <c r="C220" s="19">
        <v>2000</v>
      </c>
      <c r="D220" s="19">
        <v>2000</v>
      </c>
      <c r="E220" s="19">
        <v>2000</v>
      </c>
      <c r="F220" s="12">
        <v>6</v>
      </c>
      <c r="G220" s="12">
        <v>6</v>
      </c>
      <c r="H220" s="12">
        <v>6</v>
      </c>
      <c r="I220" s="12">
        <v>1</v>
      </c>
      <c r="J220" s="12">
        <v>1</v>
      </c>
      <c r="K220" s="12">
        <v>1</v>
      </c>
      <c r="L220" s="19">
        <f>C220*F220*I220</f>
        <v>12000</v>
      </c>
      <c r="M220" s="19">
        <f t="shared" ref="M220:N220" si="95">D220*G220*J220</f>
        <v>12000</v>
      </c>
      <c r="N220" s="19">
        <f t="shared" si="95"/>
        <v>12000</v>
      </c>
    </row>
    <row r="221" spans="1:14" ht="13.15" x14ac:dyDescent="0.2">
      <c r="A221" s="12" t="s">
        <v>121</v>
      </c>
      <c r="B221" s="12">
        <v>2120</v>
      </c>
      <c r="C221" s="12" t="s">
        <v>1</v>
      </c>
      <c r="D221" s="12" t="s">
        <v>1</v>
      </c>
      <c r="E221" s="12" t="s">
        <v>1</v>
      </c>
      <c r="F221" s="12" t="s">
        <v>1</v>
      </c>
      <c r="G221" s="12" t="s">
        <v>1</v>
      </c>
      <c r="H221" s="12" t="s">
        <v>1</v>
      </c>
      <c r="I221" s="12" t="s">
        <v>1</v>
      </c>
      <c r="J221" s="12" t="s">
        <v>1</v>
      </c>
      <c r="K221" s="12" t="s">
        <v>1</v>
      </c>
      <c r="L221" s="55">
        <f>SUM(L220:L220)</f>
        <v>12000</v>
      </c>
      <c r="M221" s="55">
        <f>SUM(M220:M220)</f>
        <v>12000</v>
      </c>
      <c r="N221" s="55">
        <f>SUM(N220:N220)</f>
        <v>12000</v>
      </c>
    </row>
    <row r="222" spans="1:14" ht="13.15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1:14" ht="13.15" x14ac:dyDescent="0.25">
      <c r="A223" s="39" t="s">
        <v>205</v>
      </c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</row>
    <row r="224" spans="1:14" ht="13.15" hidden="1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</row>
    <row r="225" spans="1:14" ht="30.7" hidden="1" customHeight="1" x14ac:dyDescent="0.2">
      <c r="A225" s="245" t="s">
        <v>199</v>
      </c>
      <c r="B225" s="248" t="s">
        <v>11</v>
      </c>
      <c r="C225" s="248" t="s">
        <v>206</v>
      </c>
      <c r="D225" s="248"/>
      <c r="E225" s="248"/>
      <c r="F225" s="248" t="s">
        <v>207</v>
      </c>
      <c r="G225" s="248"/>
      <c r="H225" s="248"/>
      <c r="I225" s="248" t="s">
        <v>208</v>
      </c>
      <c r="J225" s="248"/>
      <c r="K225" s="248"/>
      <c r="L225" s="261" t="s">
        <v>81</v>
      </c>
      <c r="M225" s="261"/>
      <c r="N225" s="261"/>
    </row>
    <row r="226" spans="1:14" ht="17.25" hidden="1" customHeight="1" x14ac:dyDescent="0.2">
      <c r="A226" s="245"/>
      <c r="B226" s="248"/>
      <c r="C226" s="101" t="s">
        <v>8</v>
      </c>
      <c r="D226" s="101" t="s">
        <v>9</v>
      </c>
      <c r="E226" s="101" t="s">
        <v>571</v>
      </c>
      <c r="F226" s="101" t="s">
        <v>8</v>
      </c>
      <c r="G226" s="101" t="s">
        <v>9</v>
      </c>
      <c r="H226" s="101" t="s">
        <v>571</v>
      </c>
      <c r="I226" s="101" t="s">
        <v>8</v>
      </c>
      <c r="J226" s="101" t="s">
        <v>9</v>
      </c>
      <c r="K226" s="101" t="s">
        <v>571</v>
      </c>
      <c r="L226" s="101" t="s">
        <v>8</v>
      </c>
      <c r="M226" s="101" t="s">
        <v>9</v>
      </c>
      <c r="N226" s="101" t="s">
        <v>571</v>
      </c>
    </row>
    <row r="227" spans="1:14" ht="39.450000000000003" hidden="1" x14ac:dyDescent="0.2">
      <c r="A227" s="245"/>
      <c r="B227" s="248"/>
      <c r="C227" s="37" t="s">
        <v>82</v>
      </c>
      <c r="D227" s="37" t="s">
        <v>83</v>
      </c>
      <c r="E227" s="37" t="s">
        <v>84</v>
      </c>
      <c r="F227" s="37" t="s">
        <v>82</v>
      </c>
      <c r="G227" s="37" t="s">
        <v>83</v>
      </c>
      <c r="H227" s="37" t="s">
        <v>84</v>
      </c>
      <c r="I227" s="37" t="s">
        <v>82</v>
      </c>
      <c r="J227" s="37" t="s">
        <v>83</v>
      </c>
      <c r="K227" s="37" t="s">
        <v>84</v>
      </c>
      <c r="L227" s="37" t="s">
        <v>82</v>
      </c>
      <c r="M227" s="37" t="s">
        <v>83</v>
      </c>
      <c r="N227" s="37" t="s">
        <v>84</v>
      </c>
    </row>
    <row r="228" spans="1:14" ht="13.15" hidden="1" x14ac:dyDescent="0.2">
      <c r="A228" s="12" t="s">
        <v>19</v>
      </c>
      <c r="B228" s="12" t="s">
        <v>20</v>
      </c>
      <c r="C228" s="12" t="s">
        <v>21</v>
      </c>
      <c r="D228" s="12" t="s">
        <v>22</v>
      </c>
      <c r="E228" s="12" t="s">
        <v>23</v>
      </c>
      <c r="F228" s="12" t="s">
        <v>24</v>
      </c>
      <c r="G228" s="12" t="s">
        <v>25</v>
      </c>
      <c r="H228" s="12" t="s">
        <v>26</v>
      </c>
      <c r="I228" s="12" t="s">
        <v>27</v>
      </c>
      <c r="J228" s="12" t="s">
        <v>28</v>
      </c>
      <c r="K228" s="12" t="s">
        <v>29</v>
      </c>
      <c r="L228" s="12" t="s">
        <v>172</v>
      </c>
      <c r="M228" s="12" t="s">
        <v>203</v>
      </c>
      <c r="N228" s="12" t="s">
        <v>204</v>
      </c>
    </row>
    <row r="229" spans="1:14" ht="15.05" hidden="1" customHeight="1" x14ac:dyDescent="0.2">
      <c r="A229" s="40"/>
      <c r="B229" s="12" t="s">
        <v>31</v>
      </c>
      <c r="C229" s="12"/>
      <c r="D229" s="12">
        <f>C229</f>
        <v>0</v>
      </c>
      <c r="E229" s="12">
        <f>D229</f>
        <v>0</v>
      </c>
      <c r="F229" s="12"/>
      <c r="G229" s="12">
        <v>12</v>
      </c>
      <c r="H229" s="12">
        <v>12</v>
      </c>
      <c r="I229" s="19"/>
      <c r="J229" s="19"/>
      <c r="K229" s="19"/>
      <c r="L229" s="19">
        <f>C229*F229*I229</f>
        <v>0</v>
      </c>
      <c r="M229" s="19">
        <f t="shared" ref="M229:N229" si="96">D229*G229*J229</f>
        <v>0</v>
      </c>
      <c r="N229" s="19">
        <f t="shared" si="96"/>
        <v>0</v>
      </c>
    </row>
    <row r="230" spans="1:14" ht="13.15" hidden="1" x14ac:dyDescent="0.2">
      <c r="A230" s="12" t="s">
        <v>121</v>
      </c>
      <c r="B230" s="12">
        <v>2120</v>
      </c>
      <c r="C230" s="12" t="s">
        <v>1</v>
      </c>
      <c r="D230" s="12" t="s">
        <v>1</v>
      </c>
      <c r="E230" s="12" t="s">
        <v>1</v>
      </c>
      <c r="F230" s="12" t="s">
        <v>1</v>
      </c>
      <c r="G230" s="12" t="s">
        <v>1</v>
      </c>
      <c r="H230" s="12" t="s">
        <v>1</v>
      </c>
      <c r="I230" s="12" t="s">
        <v>1</v>
      </c>
      <c r="J230" s="12" t="s">
        <v>1</v>
      </c>
      <c r="K230" s="12" t="s">
        <v>1</v>
      </c>
      <c r="L230" s="43">
        <f>L229</f>
        <v>0</v>
      </c>
      <c r="M230" s="43">
        <f t="shared" ref="M230:N230" si="97">M229</f>
        <v>0</v>
      </c>
      <c r="N230" s="43">
        <f t="shared" si="97"/>
        <v>0</v>
      </c>
    </row>
    <row r="231" spans="1:14" ht="13.15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</row>
    <row r="232" spans="1:14" ht="13.15" x14ac:dyDescent="0.25">
      <c r="A232" s="272" t="s">
        <v>394</v>
      </c>
      <c r="B232" s="272"/>
      <c r="C232" s="272"/>
      <c r="D232" s="272"/>
      <c r="E232" s="272"/>
      <c r="F232" s="272"/>
      <c r="G232" s="272"/>
      <c r="H232" s="272"/>
      <c r="I232" s="272"/>
      <c r="J232" s="272"/>
      <c r="K232" s="272"/>
      <c r="L232" s="23"/>
      <c r="M232" s="23"/>
      <c r="N232" s="23"/>
    </row>
    <row r="233" spans="1:14" ht="13.15" hidden="1" x14ac:dyDescent="0.25">
      <c r="A233" s="59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</row>
    <row r="234" spans="1:14" ht="17.25" hidden="1" customHeight="1" x14ac:dyDescent="0.25">
      <c r="A234" s="245" t="s">
        <v>10</v>
      </c>
      <c r="B234" s="248" t="s">
        <v>11</v>
      </c>
      <c r="C234" s="261" t="s">
        <v>209</v>
      </c>
      <c r="D234" s="261"/>
      <c r="E234" s="261"/>
      <c r="F234" s="261" t="s">
        <v>210</v>
      </c>
      <c r="G234" s="261"/>
      <c r="H234" s="261"/>
      <c r="I234" s="261" t="s">
        <v>211</v>
      </c>
      <c r="J234" s="261"/>
      <c r="K234" s="261"/>
      <c r="L234" s="23"/>
      <c r="M234" s="23"/>
      <c r="N234" s="23"/>
    </row>
    <row r="235" spans="1:14" ht="13.15" hidden="1" x14ac:dyDescent="0.25">
      <c r="A235" s="245"/>
      <c r="B235" s="248"/>
      <c r="C235" s="11" t="s">
        <v>7</v>
      </c>
      <c r="D235" s="11" t="s">
        <v>8</v>
      </c>
      <c r="E235" s="11" t="s">
        <v>9</v>
      </c>
      <c r="F235" s="11" t="s">
        <v>7</v>
      </c>
      <c r="G235" s="11" t="s">
        <v>8</v>
      </c>
      <c r="H235" s="11" t="s">
        <v>9</v>
      </c>
      <c r="I235" s="11" t="s">
        <v>7</v>
      </c>
      <c r="J235" s="11" t="s">
        <v>8</v>
      </c>
      <c r="K235" s="11" t="s">
        <v>395</v>
      </c>
      <c r="L235" s="23"/>
      <c r="M235" s="23"/>
      <c r="N235" s="23"/>
    </row>
    <row r="236" spans="1:14" ht="55.6" hidden="1" customHeight="1" x14ac:dyDescent="0.25">
      <c r="A236" s="245"/>
      <c r="B236" s="248"/>
      <c r="C236" s="37" t="s">
        <v>82</v>
      </c>
      <c r="D236" s="37" t="s">
        <v>83</v>
      </c>
      <c r="E236" s="37" t="s">
        <v>84</v>
      </c>
      <c r="F236" s="37" t="s">
        <v>82</v>
      </c>
      <c r="G236" s="37" t="s">
        <v>83</v>
      </c>
      <c r="H236" s="37" t="s">
        <v>84</v>
      </c>
      <c r="I236" s="37" t="s">
        <v>82</v>
      </c>
      <c r="J236" s="37" t="s">
        <v>83</v>
      </c>
      <c r="K236" s="37" t="s">
        <v>84</v>
      </c>
      <c r="L236" s="23"/>
      <c r="M236" s="23"/>
      <c r="N236" s="23"/>
    </row>
    <row r="237" spans="1:14" ht="13.15" hidden="1" x14ac:dyDescent="0.25">
      <c r="A237" s="12" t="s">
        <v>19</v>
      </c>
      <c r="B237" s="12" t="s">
        <v>20</v>
      </c>
      <c r="C237" s="12" t="s">
        <v>21</v>
      </c>
      <c r="D237" s="12" t="s">
        <v>22</v>
      </c>
      <c r="E237" s="12" t="s">
        <v>23</v>
      </c>
      <c r="F237" s="12" t="s">
        <v>24</v>
      </c>
      <c r="G237" s="12" t="s">
        <v>25</v>
      </c>
      <c r="H237" s="12" t="s">
        <v>26</v>
      </c>
      <c r="I237" s="12" t="s">
        <v>27</v>
      </c>
      <c r="J237" s="12" t="s">
        <v>28</v>
      </c>
      <c r="K237" s="12" t="s">
        <v>29</v>
      </c>
      <c r="L237" s="23"/>
      <c r="M237" s="23"/>
      <c r="N237" s="23"/>
    </row>
    <row r="238" spans="1:14" ht="13.15" hidden="1" x14ac:dyDescent="0.25">
      <c r="A238" s="40"/>
      <c r="B238" s="12" t="s">
        <v>31</v>
      </c>
      <c r="C238" s="40"/>
      <c r="D238" s="40"/>
      <c r="E238" s="40"/>
      <c r="F238" s="40"/>
      <c r="G238" s="40"/>
      <c r="H238" s="40"/>
      <c r="I238" s="40"/>
      <c r="J238" s="40"/>
      <c r="K238" s="40"/>
      <c r="L238" s="23"/>
      <c r="M238" s="23"/>
      <c r="N238" s="23"/>
    </row>
    <row r="239" spans="1:14" ht="13.15" hidden="1" x14ac:dyDescent="0.25">
      <c r="A239" s="12" t="s">
        <v>121</v>
      </c>
      <c r="B239" s="12" t="s">
        <v>122</v>
      </c>
      <c r="C239" s="12" t="s">
        <v>1</v>
      </c>
      <c r="D239" s="12" t="s">
        <v>1</v>
      </c>
      <c r="E239" s="12" t="s">
        <v>1</v>
      </c>
      <c r="F239" s="12" t="s">
        <v>1</v>
      </c>
      <c r="G239" s="12" t="s">
        <v>1</v>
      </c>
      <c r="H239" s="12" t="s">
        <v>1</v>
      </c>
      <c r="I239" s="40"/>
      <c r="J239" s="40"/>
      <c r="K239" s="40"/>
      <c r="L239" s="23"/>
      <c r="M239" s="23"/>
      <c r="N239" s="23"/>
    </row>
    <row r="240" spans="1:14" ht="13.15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1:14" ht="13.15" x14ac:dyDescent="0.25">
      <c r="A241" s="278" t="s">
        <v>458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3"/>
      <c r="M241" s="23"/>
      <c r="N241" s="23"/>
    </row>
    <row r="242" spans="1:14" ht="13.15" hidden="1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</row>
    <row r="243" spans="1:14" ht="27.1" hidden="1" customHeight="1" x14ac:dyDescent="0.25">
      <c r="A243" s="248" t="s">
        <v>199</v>
      </c>
      <c r="B243" s="248" t="s">
        <v>11</v>
      </c>
      <c r="C243" s="261" t="s">
        <v>212</v>
      </c>
      <c r="D243" s="261"/>
      <c r="E243" s="261"/>
      <c r="F243" s="261" t="s">
        <v>213</v>
      </c>
      <c r="G243" s="261"/>
      <c r="H243" s="261"/>
      <c r="I243" s="245" t="s">
        <v>214</v>
      </c>
      <c r="J243" s="245"/>
      <c r="K243" s="245"/>
      <c r="L243" s="23"/>
      <c r="M243" s="23"/>
      <c r="N243" s="23"/>
    </row>
    <row r="244" spans="1:14" ht="16.45" hidden="1" customHeight="1" x14ac:dyDescent="0.25">
      <c r="A244" s="248"/>
      <c r="B244" s="248"/>
      <c r="C244" s="142" t="s">
        <v>9</v>
      </c>
      <c r="D244" s="142" t="s">
        <v>571</v>
      </c>
      <c r="E244" s="142" t="s">
        <v>630</v>
      </c>
      <c r="F244" s="142" t="s">
        <v>9</v>
      </c>
      <c r="G244" s="142" t="s">
        <v>571</v>
      </c>
      <c r="H244" s="142" t="s">
        <v>630</v>
      </c>
      <c r="I244" s="142" t="s">
        <v>9</v>
      </c>
      <c r="J244" s="142" t="s">
        <v>571</v>
      </c>
      <c r="K244" s="142" t="s">
        <v>630</v>
      </c>
      <c r="L244" s="23"/>
      <c r="M244" s="23"/>
      <c r="N244" s="23"/>
    </row>
    <row r="245" spans="1:14" ht="40.549999999999997" hidden="1" customHeight="1" x14ac:dyDescent="0.25">
      <c r="A245" s="248"/>
      <c r="B245" s="248"/>
      <c r="C245" s="37" t="s">
        <v>82</v>
      </c>
      <c r="D245" s="37" t="s">
        <v>83</v>
      </c>
      <c r="E245" s="37" t="s">
        <v>84</v>
      </c>
      <c r="F245" s="37" t="s">
        <v>82</v>
      </c>
      <c r="G245" s="37" t="s">
        <v>83</v>
      </c>
      <c r="H245" s="37" t="s">
        <v>84</v>
      </c>
      <c r="I245" s="37" t="s">
        <v>82</v>
      </c>
      <c r="J245" s="37" t="s">
        <v>83</v>
      </c>
      <c r="K245" s="37" t="s">
        <v>84</v>
      </c>
      <c r="L245" s="23"/>
      <c r="M245" s="23"/>
      <c r="N245" s="23"/>
    </row>
    <row r="246" spans="1:14" ht="13.15" hidden="1" x14ac:dyDescent="0.25">
      <c r="A246" s="12" t="s">
        <v>19</v>
      </c>
      <c r="B246" s="12" t="s">
        <v>20</v>
      </c>
      <c r="C246" s="12" t="s">
        <v>21</v>
      </c>
      <c r="D246" s="12" t="s">
        <v>22</v>
      </c>
      <c r="E246" s="12" t="s">
        <v>23</v>
      </c>
      <c r="F246" s="12" t="s">
        <v>24</v>
      </c>
      <c r="G246" s="12" t="s">
        <v>25</v>
      </c>
      <c r="H246" s="12" t="s">
        <v>26</v>
      </c>
      <c r="I246" s="12" t="s">
        <v>27</v>
      </c>
      <c r="J246" s="12" t="s">
        <v>28</v>
      </c>
      <c r="K246" s="12" t="s">
        <v>29</v>
      </c>
      <c r="L246" s="23"/>
      <c r="M246" s="23"/>
      <c r="N246" s="23"/>
    </row>
    <row r="247" spans="1:14" ht="15.85" hidden="1" customHeight="1" x14ac:dyDescent="0.25">
      <c r="A247" s="15" t="s">
        <v>396</v>
      </c>
      <c r="B247" s="67" t="s">
        <v>31</v>
      </c>
      <c r="C247" s="40"/>
      <c r="D247" s="40"/>
      <c r="E247" s="40"/>
      <c r="F247" s="40"/>
      <c r="G247" s="40"/>
      <c r="H247" s="40"/>
      <c r="I247" s="19"/>
      <c r="J247" s="19"/>
      <c r="K247" s="19"/>
      <c r="L247" s="23"/>
      <c r="M247" s="23"/>
      <c r="N247" s="23"/>
    </row>
    <row r="248" spans="1:14" ht="13.5" hidden="1" customHeight="1" x14ac:dyDescent="0.25">
      <c r="A248" s="12" t="s">
        <v>121</v>
      </c>
      <c r="B248" s="12">
        <v>2300</v>
      </c>
      <c r="C248" s="12" t="s">
        <v>1</v>
      </c>
      <c r="D248" s="12" t="s">
        <v>1</v>
      </c>
      <c r="E248" s="12" t="s">
        <v>1</v>
      </c>
      <c r="F248" s="12" t="s">
        <v>1</v>
      </c>
      <c r="G248" s="12" t="s">
        <v>1</v>
      </c>
      <c r="H248" s="12" t="s">
        <v>1</v>
      </c>
      <c r="I248" s="43">
        <f>SUM(I247:I247)</f>
        <v>0</v>
      </c>
      <c r="J248" s="43">
        <f>SUM(J247:J247)</f>
        <v>0</v>
      </c>
      <c r="K248" s="43">
        <f>SUM(K247:K247)</f>
        <v>0</v>
      </c>
      <c r="L248" s="23"/>
      <c r="M248" s="23"/>
      <c r="N248" s="23"/>
    </row>
    <row r="249" spans="1:14" ht="13.15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</row>
    <row r="250" spans="1:14" ht="13.15" x14ac:dyDescent="0.2">
      <c r="A250" s="272" t="s">
        <v>457</v>
      </c>
      <c r="B250" s="272"/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</row>
    <row r="251" spans="1:14" ht="13.15" hidden="1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</row>
    <row r="252" spans="1:14" ht="18" hidden="1" customHeight="1" x14ac:dyDescent="0.25">
      <c r="A252" s="245" t="s">
        <v>199</v>
      </c>
      <c r="B252" s="248" t="s">
        <v>11</v>
      </c>
      <c r="C252" s="248" t="s">
        <v>209</v>
      </c>
      <c r="D252" s="248"/>
      <c r="E252" s="248"/>
      <c r="F252" s="248" t="s">
        <v>210</v>
      </c>
      <c r="G252" s="248"/>
      <c r="H252" s="248"/>
      <c r="I252" s="248" t="s">
        <v>211</v>
      </c>
      <c r="J252" s="248"/>
      <c r="K252" s="248"/>
      <c r="L252" s="23"/>
      <c r="M252" s="23"/>
      <c r="N252" s="23"/>
    </row>
    <row r="253" spans="1:14" ht="14.25" hidden="1" customHeight="1" x14ac:dyDescent="0.25">
      <c r="A253" s="245"/>
      <c r="B253" s="248"/>
      <c r="C253" s="142" t="s">
        <v>9</v>
      </c>
      <c r="D253" s="142" t="s">
        <v>571</v>
      </c>
      <c r="E253" s="142" t="s">
        <v>630</v>
      </c>
      <c r="F253" s="142" t="s">
        <v>9</v>
      </c>
      <c r="G253" s="142" t="s">
        <v>571</v>
      </c>
      <c r="H253" s="142" t="s">
        <v>630</v>
      </c>
      <c r="I253" s="142" t="s">
        <v>9</v>
      </c>
      <c r="J253" s="142" t="s">
        <v>571</v>
      </c>
      <c r="K253" s="142" t="s">
        <v>630</v>
      </c>
      <c r="L253" s="23"/>
      <c r="M253" s="23"/>
      <c r="N253" s="23"/>
    </row>
    <row r="254" spans="1:14" ht="40.549999999999997" hidden="1" customHeight="1" x14ac:dyDescent="0.25">
      <c r="A254" s="245"/>
      <c r="B254" s="248"/>
      <c r="C254" s="37" t="s">
        <v>82</v>
      </c>
      <c r="D254" s="37" t="s">
        <v>83</v>
      </c>
      <c r="E254" s="37" t="s">
        <v>84</v>
      </c>
      <c r="F254" s="37" t="s">
        <v>82</v>
      </c>
      <c r="G254" s="37" t="s">
        <v>83</v>
      </c>
      <c r="H254" s="37" t="s">
        <v>84</v>
      </c>
      <c r="I254" s="37" t="s">
        <v>82</v>
      </c>
      <c r="J254" s="37" t="s">
        <v>83</v>
      </c>
      <c r="K254" s="37" t="s">
        <v>84</v>
      </c>
      <c r="L254" s="23"/>
      <c r="M254" s="23"/>
      <c r="N254" s="23"/>
    </row>
    <row r="255" spans="1:14" ht="13.15" hidden="1" x14ac:dyDescent="0.25">
      <c r="A255" s="12" t="s">
        <v>19</v>
      </c>
      <c r="B255" s="12" t="s">
        <v>20</v>
      </c>
      <c r="C255" s="12" t="s">
        <v>21</v>
      </c>
      <c r="D255" s="12" t="s">
        <v>22</v>
      </c>
      <c r="E255" s="12" t="s">
        <v>23</v>
      </c>
      <c r="F255" s="12" t="s">
        <v>24</v>
      </c>
      <c r="G255" s="12" t="s">
        <v>25</v>
      </c>
      <c r="H255" s="12" t="s">
        <v>26</v>
      </c>
      <c r="I255" s="12" t="s">
        <v>27</v>
      </c>
      <c r="J255" s="12" t="s">
        <v>28</v>
      </c>
      <c r="K255" s="12" t="s">
        <v>29</v>
      </c>
      <c r="L255" s="23"/>
      <c r="M255" s="23"/>
      <c r="N255" s="23"/>
    </row>
    <row r="256" spans="1:14" ht="26.3" hidden="1" customHeight="1" x14ac:dyDescent="0.25">
      <c r="A256" s="15" t="s">
        <v>397</v>
      </c>
      <c r="B256" s="12" t="s">
        <v>31</v>
      </c>
      <c r="C256" s="98"/>
      <c r="D256" s="98"/>
      <c r="E256" s="98"/>
      <c r="F256" s="101"/>
      <c r="G256" s="101"/>
      <c r="H256" s="101"/>
      <c r="I256" s="91"/>
      <c r="J256" s="91"/>
      <c r="K256" s="91"/>
      <c r="L256" s="23"/>
      <c r="M256" s="23"/>
      <c r="N256" s="23"/>
    </row>
    <row r="257" spans="1:14" ht="13.15" hidden="1" x14ac:dyDescent="0.25">
      <c r="A257" s="12" t="s">
        <v>121</v>
      </c>
      <c r="B257" s="12">
        <v>2420</v>
      </c>
      <c r="C257" s="12" t="s">
        <v>1</v>
      </c>
      <c r="D257" s="12" t="s">
        <v>1</v>
      </c>
      <c r="E257" s="12" t="s">
        <v>1</v>
      </c>
      <c r="F257" s="12" t="s">
        <v>1</v>
      </c>
      <c r="G257" s="12" t="s">
        <v>1</v>
      </c>
      <c r="H257" s="12" t="s">
        <v>1</v>
      </c>
      <c r="I257" s="92">
        <f>I256</f>
        <v>0</v>
      </c>
      <c r="J257" s="92">
        <f t="shared" ref="J257:K257" si="98">J256</f>
        <v>0</v>
      </c>
      <c r="K257" s="92">
        <f t="shared" si="98"/>
        <v>0</v>
      </c>
      <c r="L257" s="23"/>
      <c r="M257" s="23"/>
      <c r="N257" s="23"/>
    </row>
    <row r="258" spans="1:14" ht="13.15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</row>
    <row r="259" spans="1:14" ht="15.85" customHeight="1" x14ac:dyDescent="0.2">
      <c r="A259" s="272" t="s">
        <v>456</v>
      </c>
      <c r="B259" s="272"/>
      <c r="C259" s="272"/>
      <c r="D259" s="272"/>
      <c r="E259" s="272"/>
      <c r="F259" s="272"/>
      <c r="G259" s="272"/>
      <c r="H259" s="272"/>
      <c r="I259" s="272"/>
      <c r="J259" s="272"/>
      <c r="K259" s="272"/>
      <c r="L259" s="272"/>
      <c r="M259" s="272"/>
      <c r="N259" s="272"/>
    </row>
    <row r="260" spans="1:14" ht="13.15" hidden="1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</row>
    <row r="261" spans="1:14" ht="18" hidden="1" customHeight="1" x14ac:dyDescent="0.25">
      <c r="A261" s="245" t="s">
        <v>199</v>
      </c>
      <c r="B261" s="248" t="s">
        <v>11</v>
      </c>
      <c r="C261" s="261" t="s">
        <v>209</v>
      </c>
      <c r="D261" s="261"/>
      <c r="E261" s="261"/>
      <c r="F261" s="261" t="s">
        <v>210</v>
      </c>
      <c r="G261" s="261"/>
      <c r="H261" s="261"/>
      <c r="I261" s="261" t="s">
        <v>211</v>
      </c>
      <c r="J261" s="261"/>
      <c r="K261" s="261"/>
      <c r="L261" s="23"/>
      <c r="M261" s="23"/>
      <c r="N261" s="23"/>
    </row>
    <row r="262" spans="1:14" ht="16.45" hidden="1" customHeight="1" x14ac:dyDescent="0.25">
      <c r="A262" s="245"/>
      <c r="B262" s="248"/>
      <c r="C262" s="11" t="s">
        <v>7</v>
      </c>
      <c r="D262" s="11" t="s">
        <v>8</v>
      </c>
      <c r="E262" s="11" t="s">
        <v>9</v>
      </c>
      <c r="F262" s="11" t="s">
        <v>7</v>
      </c>
      <c r="G262" s="11" t="s">
        <v>8</v>
      </c>
      <c r="H262" s="11" t="s">
        <v>9</v>
      </c>
      <c r="I262" s="11" t="s">
        <v>7</v>
      </c>
      <c r="J262" s="11" t="s">
        <v>8</v>
      </c>
      <c r="K262" s="11" t="s">
        <v>9</v>
      </c>
      <c r="L262" s="23"/>
      <c r="M262" s="23"/>
      <c r="N262" s="23"/>
    </row>
    <row r="263" spans="1:14" ht="54" hidden="1" customHeight="1" x14ac:dyDescent="0.25">
      <c r="A263" s="245"/>
      <c r="B263" s="248"/>
      <c r="C263" s="37" t="s">
        <v>82</v>
      </c>
      <c r="D263" s="37" t="s">
        <v>83</v>
      </c>
      <c r="E263" s="37" t="s">
        <v>84</v>
      </c>
      <c r="F263" s="37" t="s">
        <v>82</v>
      </c>
      <c r="G263" s="37" t="s">
        <v>83</v>
      </c>
      <c r="H263" s="37" t="s">
        <v>84</v>
      </c>
      <c r="I263" s="37" t="s">
        <v>82</v>
      </c>
      <c r="J263" s="37" t="s">
        <v>83</v>
      </c>
      <c r="K263" s="37" t="s">
        <v>84</v>
      </c>
      <c r="L263" s="23"/>
      <c r="M263" s="23"/>
      <c r="N263" s="23"/>
    </row>
    <row r="264" spans="1:14" ht="13.15" hidden="1" x14ac:dyDescent="0.25">
      <c r="A264" s="12" t="s">
        <v>19</v>
      </c>
      <c r="B264" s="12" t="s">
        <v>20</v>
      </c>
      <c r="C264" s="12" t="s">
        <v>21</v>
      </c>
      <c r="D264" s="12" t="s">
        <v>22</v>
      </c>
      <c r="E264" s="12" t="s">
        <v>23</v>
      </c>
      <c r="F264" s="12" t="s">
        <v>24</v>
      </c>
      <c r="G264" s="12" t="s">
        <v>25</v>
      </c>
      <c r="H264" s="12" t="s">
        <v>26</v>
      </c>
      <c r="I264" s="12" t="s">
        <v>27</v>
      </c>
      <c r="J264" s="12" t="s">
        <v>28</v>
      </c>
      <c r="K264" s="12" t="s">
        <v>29</v>
      </c>
      <c r="L264" s="23"/>
      <c r="M264" s="23"/>
      <c r="N264" s="23"/>
    </row>
    <row r="265" spans="1:14" ht="13.15" hidden="1" x14ac:dyDescent="0.25">
      <c r="A265" s="40"/>
      <c r="B265" s="12" t="s">
        <v>31</v>
      </c>
      <c r="C265" s="40"/>
      <c r="D265" s="40"/>
      <c r="E265" s="40"/>
      <c r="F265" s="40"/>
      <c r="G265" s="40"/>
      <c r="H265" s="40"/>
      <c r="I265" s="40"/>
      <c r="J265" s="40"/>
      <c r="K265" s="40"/>
      <c r="L265" s="23"/>
      <c r="M265" s="23"/>
      <c r="N265" s="23"/>
    </row>
    <row r="266" spans="1:14" ht="13.15" hidden="1" x14ac:dyDescent="0.25">
      <c r="A266" s="12" t="s">
        <v>121</v>
      </c>
      <c r="B266" s="12" t="s">
        <v>122</v>
      </c>
      <c r="C266" s="12" t="s">
        <v>1</v>
      </c>
      <c r="D266" s="12" t="s">
        <v>1</v>
      </c>
      <c r="E266" s="12" t="s">
        <v>1</v>
      </c>
      <c r="F266" s="12" t="s">
        <v>1</v>
      </c>
      <c r="G266" s="12" t="s">
        <v>1</v>
      </c>
      <c r="H266" s="12" t="s">
        <v>1</v>
      </c>
      <c r="I266" s="40"/>
      <c r="J266" s="40"/>
      <c r="K266" s="40"/>
      <c r="L266" s="23"/>
      <c r="M266" s="23"/>
      <c r="N266" s="23"/>
    </row>
  </sheetData>
  <mergeCells count="102">
    <mergeCell ref="M88:N88"/>
    <mergeCell ref="M118:N118"/>
    <mergeCell ref="A120:N120"/>
    <mergeCell ref="A170:N170"/>
    <mergeCell ref="A172:N172"/>
    <mergeCell ref="L122:L125"/>
    <mergeCell ref="D123:D125"/>
    <mergeCell ref="E123:K123"/>
    <mergeCell ref="E124:E125"/>
    <mergeCell ref="F124:F125"/>
    <mergeCell ref="B122:B125"/>
    <mergeCell ref="C122:C125"/>
    <mergeCell ref="D122:K122"/>
    <mergeCell ref="L72:L75"/>
    <mergeCell ref="A70:N70"/>
    <mergeCell ref="A18:N18"/>
    <mergeCell ref="D73:D75"/>
    <mergeCell ref="E73:K73"/>
    <mergeCell ref="E74:E75"/>
    <mergeCell ref="F74:F75"/>
    <mergeCell ref="G74:G75"/>
    <mergeCell ref="H74:I74"/>
    <mergeCell ref="J74:K74"/>
    <mergeCell ref="L20:L23"/>
    <mergeCell ref="D21:D23"/>
    <mergeCell ref="E21:K21"/>
    <mergeCell ref="E22:E23"/>
    <mergeCell ref="F22:F23"/>
    <mergeCell ref="G22:G23"/>
    <mergeCell ref="H22:I22"/>
    <mergeCell ref="J22:K22"/>
    <mergeCell ref="D20:K20"/>
    <mergeCell ref="C5:E5"/>
    <mergeCell ref="A261:A263"/>
    <mergeCell ref="B261:B263"/>
    <mergeCell ref="C261:E261"/>
    <mergeCell ref="F261:H261"/>
    <mergeCell ref="I261:K261"/>
    <mergeCell ref="B243:B245"/>
    <mergeCell ref="C243:E243"/>
    <mergeCell ref="A72:A75"/>
    <mergeCell ref="B72:B75"/>
    <mergeCell ref="C72:C75"/>
    <mergeCell ref="D72:K72"/>
    <mergeCell ref="F243:H243"/>
    <mergeCell ref="I243:K243"/>
    <mergeCell ref="A234:A236"/>
    <mergeCell ref="B234:B236"/>
    <mergeCell ref="C234:E234"/>
    <mergeCell ref="F234:H234"/>
    <mergeCell ref="B173:B175"/>
    <mergeCell ref="A20:A23"/>
    <mergeCell ref="B20:B23"/>
    <mergeCell ref="C20:C23"/>
    <mergeCell ref="I234:K234"/>
    <mergeCell ref="A243:A245"/>
    <mergeCell ref="A259:N259"/>
    <mergeCell ref="F186:H186"/>
    <mergeCell ref="A214:K214"/>
    <mergeCell ref="A201:K201"/>
    <mergeCell ref="A212:K212"/>
    <mergeCell ref="I252:K252"/>
    <mergeCell ref="A1:K1"/>
    <mergeCell ref="A232:K232"/>
    <mergeCell ref="A241:K241"/>
    <mergeCell ref="C173:E173"/>
    <mergeCell ref="A186:A188"/>
    <mergeCell ref="B186:B188"/>
    <mergeCell ref="C186:E186"/>
    <mergeCell ref="A184:K184"/>
    <mergeCell ref="A3:N3"/>
    <mergeCell ref="A5:A7"/>
    <mergeCell ref="B5:B7"/>
    <mergeCell ref="L205:L207"/>
    <mergeCell ref="A250:N250"/>
    <mergeCell ref="G124:G125"/>
    <mergeCell ref="H124:I124"/>
    <mergeCell ref="J124:K124"/>
    <mergeCell ref="A122:A125"/>
    <mergeCell ref="B225:B227"/>
    <mergeCell ref="A173:A175"/>
    <mergeCell ref="A203:M203"/>
    <mergeCell ref="A205:A207"/>
    <mergeCell ref="B205:B207"/>
    <mergeCell ref="C205:E205"/>
    <mergeCell ref="F205:H205"/>
    <mergeCell ref="I205:K205"/>
    <mergeCell ref="A252:A254"/>
    <mergeCell ref="B252:B254"/>
    <mergeCell ref="C252:E252"/>
    <mergeCell ref="F252:H252"/>
    <mergeCell ref="L216:N216"/>
    <mergeCell ref="A225:A227"/>
    <mergeCell ref="F225:H225"/>
    <mergeCell ref="I225:K225"/>
    <mergeCell ref="L225:N225"/>
    <mergeCell ref="I216:K216"/>
    <mergeCell ref="A216:A218"/>
    <mergeCell ref="B216:B218"/>
    <mergeCell ref="C216:E216"/>
    <mergeCell ref="F216:H216"/>
    <mergeCell ref="C225:E225"/>
  </mergeCells>
  <phoneticPr fontId="15" type="noConversion"/>
  <pageMargins left="0.39370078740157483" right="0.19685039370078741" top="0.39370078740157483" bottom="0.19685039370078741" header="0.31496062992125984" footer="0.31496062992125984"/>
  <pageSetup paperSize="9" scale="70" orientation="landscape" r:id="rId1"/>
  <rowBreaks count="5" manualBreakCount="5">
    <brk id="36" max="13" man="1"/>
    <brk id="80" max="16383" man="1"/>
    <brk id="119" max="16383" man="1"/>
    <brk id="164" max="16383" man="1"/>
    <brk id="2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257"/>
  <sheetViews>
    <sheetView view="pageBreakPreview" zoomScaleSheetLayoutView="100" workbookViewId="0">
      <selection activeCell="C266" sqref="C266"/>
    </sheetView>
  </sheetViews>
  <sheetFormatPr defaultRowHeight="12.55" x14ac:dyDescent="0.2"/>
  <cols>
    <col min="1" max="1" width="36.44140625" customWidth="1"/>
    <col min="2" max="2" width="7.5546875" customWidth="1"/>
    <col min="3" max="3" width="12.5546875" customWidth="1"/>
    <col min="4" max="4" width="13.88671875" customWidth="1"/>
    <col min="5" max="5" width="12.33203125" customWidth="1"/>
    <col min="6" max="6" width="11.5546875" customWidth="1"/>
    <col min="7" max="7" width="11.33203125" customWidth="1"/>
    <col min="8" max="9" width="12" customWidth="1"/>
    <col min="10" max="10" width="11.88671875" customWidth="1"/>
    <col min="11" max="11" width="10.6640625" customWidth="1"/>
    <col min="12" max="12" width="12.33203125" customWidth="1"/>
    <col min="13" max="14" width="9.6640625" customWidth="1"/>
  </cols>
  <sheetData>
    <row r="1" spans="1:14" ht="13.15" x14ac:dyDescent="0.25">
      <c r="A1" s="272" t="s">
        <v>387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3"/>
      <c r="M1" s="23"/>
      <c r="N1" s="23"/>
    </row>
    <row r="2" spans="1:14" ht="13.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28.5" customHeight="1" x14ac:dyDescent="0.2">
      <c r="A3" s="273" t="s">
        <v>469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</row>
    <row r="4" spans="1:14" ht="13.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85" customHeight="1" x14ac:dyDescent="0.25">
      <c r="A5" s="247" t="s">
        <v>10</v>
      </c>
      <c r="B5" s="248" t="s">
        <v>11</v>
      </c>
      <c r="C5" s="247" t="s">
        <v>81</v>
      </c>
      <c r="D5" s="247"/>
      <c r="E5" s="247"/>
      <c r="F5" s="23"/>
      <c r="G5" s="23"/>
      <c r="H5" s="23"/>
      <c r="I5" s="23"/>
      <c r="J5" s="23"/>
      <c r="K5" s="23"/>
      <c r="L5" s="23"/>
      <c r="M5" s="23"/>
      <c r="N5" s="23"/>
    </row>
    <row r="6" spans="1:14" ht="13.5" customHeight="1" x14ac:dyDescent="0.25">
      <c r="A6" s="247"/>
      <c r="B6" s="248"/>
      <c r="C6" s="150" t="s">
        <v>9</v>
      </c>
      <c r="D6" s="150" t="s">
        <v>571</v>
      </c>
      <c r="E6" s="150" t="s">
        <v>630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1.95" customHeight="1" x14ac:dyDescent="0.25">
      <c r="A7" s="247"/>
      <c r="B7" s="248"/>
      <c r="C7" s="46" t="s">
        <v>82</v>
      </c>
      <c r="D7" s="46" t="s">
        <v>83</v>
      </c>
      <c r="E7" s="46" t="s">
        <v>84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13.15" x14ac:dyDescent="0.25">
      <c r="A8" s="47" t="s">
        <v>19</v>
      </c>
      <c r="B8" s="47" t="s">
        <v>20</v>
      </c>
      <c r="C8" s="47" t="s">
        <v>21</v>
      </c>
      <c r="D8" s="47" t="s">
        <v>22</v>
      </c>
      <c r="E8" s="47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39.450000000000003" x14ac:dyDescent="0.25">
      <c r="A9" s="5" t="s">
        <v>153</v>
      </c>
      <c r="B9" s="95" t="s">
        <v>86</v>
      </c>
      <c r="C9" s="45">
        <v>0</v>
      </c>
      <c r="D9" s="45">
        <v>0</v>
      </c>
      <c r="E9" s="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39.450000000000003" x14ac:dyDescent="0.25">
      <c r="A10" s="5" t="s">
        <v>154</v>
      </c>
      <c r="B10" s="95" t="s">
        <v>88</v>
      </c>
      <c r="C10" s="45">
        <v>0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3.5" customHeight="1" x14ac:dyDescent="0.25">
      <c r="A11" s="2" t="s">
        <v>155</v>
      </c>
      <c r="B11" s="95" t="s">
        <v>90</v>
      </c>
      <c r="C11" s="45">
        <f>L65</f>
        <v>6780775.0002426635</v>
      </c>
      <c r="D11" s="45">
        <f>L114</f>
        <v>6780775.0002426635</v>
      </c>
      <c r="E11" s="45">
        <f>L163</f>
        <v>6780775.0002426635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39.450000000000003" x14ac:dyDescent="0.25">
      <c r="A12" s="5" t="s">
        <v>156</v>
      </c>
      <c r="B12" s="95" t="s">
        <v>108</v>
      </c>
      <c r="C12" s="45">
        <v>0</v>
      </c>
      <c r="D12" s="45">
        <v>0</v>
      </c>
      <c r="E12" s="45">
        <v>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39.450000000000003" x14ac:dyDescent="0.25">
      <c r="A13" s="5" t="s">
        <v>157</v>
      </c>
      <c r="B13" s="95" t="s">
        <v>110</v>
      </c>
      <c r="C13" s="45">
        <v>0</v>
      </c>
      <c r="D13" s="45">
        <v>0</v>
      </c>
      <c r="E13" s="45">
        <v>0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26.3" x14ac:dyDescent="0.25">
      <c r="A14" s="5" t="s">
        <v>158</v>
      </c>
      <c r="B14" s="95" t="s">
        <v>112</v>
      </c>
      <c r="C14" s="55">
        <f>C11</f>
        <v>6780775.0002426635</v>
      </c>
      <c r="D14" s="55">
        <f t="shared" ref="D14:E14" si="0">D11</f>
        <v>6780775.0002426635</v>
      </c>
      <c r="E14" s="55">
        <f t="shared" si="0"/>
        <v>6780775.0002426635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3.15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3.15" x14ac:dyDescent="0.25">
      <c r="A16" s="39" t="s">
        <v>159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3.1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3.15" x14ac:dyDescent="0.2">
      <c r="A18" s="272" t="s">
        <v>645</v>
      </c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</row>
    <row r="19" spans="1:14" ht="13.15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3.15" x14ac:dyDescent="0.25">
      <c r="A20" s="245" t="s">
        <v>160</v>
      </c>
      <c r="B20" s="245" t="s">
        <v>11</v>
      </c>
      <c r="C20" s="245" t="s">
        <v>161</v>
      </c>
      <c r="D20" s="247" t="s">
        <v>162</v>
      </c>
      <c r="E20" s="247"/>
      <c r="F20" s="247"/>
      <c r="G20" s="247"/>
      <c r="H20" s="247"/>
      <c r="I20" s="247"/>
      <c r="J20" s="247"/>
      <c r="K20" s="247"/>
      <c r="L20" s="248" t="s">
        <v>163</v>
      </c>
      <c r="M20" s="23"/>
      <c r="N20" s="23"/>
    </row>
    <row r="21" spans="1:14" ht="13.15" x14ac:dyDescent="0.25">
      <c r="A21" s="245"/>
      <c r="B21" s="245"/>
      <c r="C21" s="245"/>
      <c r="D21" s="248" t="s">
        <v>379</v>
      </c>
      <c r="E21" s="247" t="s">
        <v>57</v>
      </c>
      <c r="F21" s="247"/>
      <c r="G21" s="247"/>
      <c r="H21" s="247"/>
      <c r="I21" s="247"/>
      <c r="J21" s="247"/>
      <c r="K21" s="247"/>
      <c r="L21" s="248"/>
      <c r="M21" s="23"/>
      <c r="N21" s="23"/>
    </row>
    <row r="22" spans="1:14" ht="23.95" customHeight="1" x14ac:dyDescent="0.25">
      <c r="A22" s="245"/>
      <c r="B22" s="245"/>
      <c r="C22" s="245"/>
      <c r="D22" s="248"/>
      <c r="E22" s="248" t="s">
        <v>164</v>
      </c>
      <c r="F22" s="248" t="s">
        <v>165</v>
      </c>
      <c r="G22" s="248" t="s">
        <v>166</v>
      </c>
      <c r="H22" s="245" t="s">
        <v>167</v>
      </c>
      <c r="I22" s="245"/>
      <c r="J22" s="245" t="s">
        <v>168</v>
      </c>
      <c r="K22" s="245"/>
      <c r="L22" s="248"/>
      <c r="M22" s="23"/>
      <c r="N22" s="23"/>
    </row>
    <row r="23" spans="1:14" ht="52.6" x14ac:dyDescent="0.25">
      <c r="A23" s="245"/>
      <c r="B23" s="245"/>
      <c r="C23" s="245"/>
      <c r="D23" s="248"/>
      <c r="E23" s="248"/>
      <c r="F23" s="248"/>
      <c r="G23" s="248"/>
      <c r="H23" s="49" t="s">
        <v>169</v>
      </c>
      <c r="I23" s="48" t="s">
        <v>170</v>
      </c>
      <c r="J23" s="49" t="s">
        <v>169</v>
      </c>
      <c r="K23" s="48" t="s">
        <v>171</v>
      </c>
      <c r="L23" s="248"/>
      <c r="M23" s="23"/>
      <c r="N23" s="23"/>
    </row>
    <row r="24" spans="1:14" ht="13.15" x14ac:dyDescent="0.25">
      <c r="A24" s="47" t="s">
        <v>19</v>
      </c>
      <c r="B24" s="47" t="s">
        <v>20</v>
      </c>
      <c r="C24" s="47" t="s">
        <v>21</v>
      </c>
      <c r="D24" s="47" t="s">
        <v>22</v>
      </c>
      <c r="E24" s="47" t="s">
        <v>23</v>
      </c>
      <c r="F24" s="47" t="s">
        <v>24</v>
      </c>
      <c r="G24" s="47" t="s">
        <v>25</v>
      </c>
      <c r="H24" s="47" t="s">
        <v>26</v>
      </c>
      <c r="I24" s="47" t="s">
        <v>27</v>
      </c>
      <c r="J24" s="47" t="s">
        <v>28</v>
      </c>
      <c r="K24" s="47" t="s">
        <v>29</v>
      </c>
      <c r="L24" s="47" t="s">
        <v>172</v>
      </c>
      <c r="M24" s="23"/>
      <c r="N24" s="23"/>
    </row>
    <row r="25" spans="1:14" ht="14.25" customHeight="1" x14ac:dyDescent="0.25">
      <c r="A25" s="63" t="s">
        <v>607</v>
      </c>
      <c r="B25" s="67" t="s">
        <v>31</v>
      </c>
      <c r="C25" s="111">
        <v>1</v>
      </c>
      <c r="D25" s="149">
        <f>E25+F25+G25+I25+K25</f>
        <v>29107.699200000006</v>
      </c>
      <c r="E25" s="149">
        <v>15160.26</v>
      </c>
      <c r="F25" s="149">
        <f>E25*0.2</f>
        <v>3032.0520000000001</v>
      </c>
      <c r="G25" s="149"/>
      <c r="H25" s="150">
        <v>30</v>
      </c>
      <c r="I25" s="149">
        <f>(E25+F25+G25)*H25/100</f>
        <v>5457.6936000000014</v>
      </c>
      <c r="J25" s="150">
        <v>30</v>
      </c>
      <c r="K25" s="149">
        <f>(E25+F25+G25)*J25/100</f>
        <v>5457.6936000000014</v>
      </c>
      <c r="L25" s="149">
        <f>C25*D25*6+3128.8</f>
        <v>177774.99520000003</v>
      </c>
      <c r="M25" s="23"/>
      <c r="N25" s="107"/>
    </row>
    <row r="26" spans="1:14" ht="14.25" customHeight="1" x14ac:dyDescent="0.25">
      <c r="A26" s="63" t="s">
        <v>608</v>
      </c>
      <c r="B26" s="67" t="s">
        <v>33</v>
      </c>
      <c r="C26" s="111">
        <v>1</v>
      </c>
      <c r="D26" s="149">
        <f t="shared" ref="D26:D49" si="1">E26+F26+G26+I26+K26</f>
        <v>17328</v>
      </c>
      <c r="E26" s="149">
        <v>9025</v>
      </c>
      <c r="F26" s="149">
        <f t="shared" ref="F26:F49" si="2">E26*0.2</f>
        <v>1805</v>
      </c>
      <c r="G26" s="149"/>
      <c r="H26" s="150">
        <v>30</v>
      </c>
      <c r="I26" s="149">
        <f t="shared" ref="I26:I49" si="3">(E26+F26+G26)*H26/100</f>
        <v>3249</v>
      </c>
      <c r="J26" s="150">
        <v>30</v>
      </c>
      <c r="K26" s="149">
        <f t="shared" ref="K26:K49" si="4">(E26+F26+G26)*J26/100</f>
        <v>3249</v>
      </c>
      <c r="L26" s="149">
        <f>C26*D26*10-5280</f>
        <v>168000</v>
      </c>
      <c r="M26" s="23"/>
      <c r="N26" s="107"/>
    </row>
    <row r="27" spans="1:14" ht="14.25" customHeight="1" x14ac:dyDescent="0.25">
      <c r="A27" s="63" t="s">
        <v>636</v>
      </c>
      <c r="B27" s="67" t="s">
        <v>380</v>
      </c>
      <c r="C27" s="111">
        <v>1</v>
      </c>
      <c r="D27" s="149">
        <f t="shared" ref="D27:D45" si="5">E27+F27+G27+I27+K27</f>
        <v>25100.16</v>
      </c>
      <c r="E27" s="149">
        <v>13073</v>
      </c>
      <c r="F27" s="149">
        <f t="shared" si="2"/>
        <v>2614.6000000000004</v>
      </c>
      <c r="G27" s="149"/>
      <c r="H27" s="150">
        <v>30</v>
      </c>
      <c r="I27" s="149">
        <f t="shared" si="3"/>
        <v>4706.28</v>
      </c>
      <c r="J27" s="150">
        <v>30</v>
      </c>
      <c r="K27" s="149">
        <f t="shared" si="4"/>
        <v>4706.28</v>
      </c>
      <c r="L27" s="149">
        <f>C27*D27*7-7701.12</f>
        <v>168000</v>
      </c>
      <c r="M27" s="23"/>
      <c r="N27" s="107"/>
    </row>
    <row r="28" spans="1:14" ht="26.3" customHeight="1" x14ac:dyDescent="0.25">
      <c r="A28" s="64" t="s">
        <v>637</v>
      </c>
      <c r="B28" s="67" t="s">
        <v>428</v>
      </c>
      <c r="C28" s="111">
        <v>0.5</v>
      </c>
      <c r="D28" s="149">
        <f t="shared" si="5"/>
        <v>19224.96</v>
      </c>
      <c r="E28" s="149">
        <v>10013</v>
      </c>
      <c r="F28" s="149">
        <f t="shared" ref="F28:F45" si="6">E28*0.2</f>
        <v>2002.6000000000001</v>
      </c>
      <c r="G28" s="149"/>
      <c r="H28" s="150">
        <v>30</v>
      </c>
      <c r="I28" s="149">
        <f t="shared" ref="I28:I45" si="7">(E28+F28+G28)*H28/100</f>
        <v>3604.68</v>
      </c>
      <c r="J28" s="150">
        <v>30</v>
      </c>
      <c r="K28" s="149">
        <f t="shared" ref="K28:K45" si="8">(E28+F28+G28)*J28/100</f>
        <v>3604.68</v>
      </c>
      <c r="L28" s="149">
        <f>C28*D28*9-2512.32</f>
        <v>83999.999999999985</v>
      </c>
      <c r="M28" s="23"/>
      <c r="N28" s="107"/>
    </row>
    <row r="29" spans="1:14" ht="14.25" customHeight="1" x14ac:dyDescent="0.25">
      <c r="A29" s="64" t="s">
        <v>410</v>
      </c>
      <c r="B29" s="67" t="s">
        <v>427</v>
      </c>
      <c r="C29" s="111">
        <v>1</v>
      </c>
      <c r="D29" s="149">
        <f t="shared" si="5"/>
        <v>14261.76</v>
      </c>
      <c r="E29" s="149">
        <v>7428</v>
      </c>
      <c r="F29" s="149">
        <f t="shared" si="6"/>
        <v>1485.6000000000001</v>
      </c>
      <c r="G29" s="149"/>
      <c r="H29" s="150">
        <v>30</v>
      </c>
      <c r="I29" s="149">
        <f t="shared" si="7"/>
        <v>2674.08</v>
      </c>
      <c r="J29" s="150">
        <v>30</v>
      </c>
      <c r="K29" s="149">
        <f t="shared" si="8"/>
        <v>2674.08</v>
      </c>
      <c r="L29" s="149">
        <f>C29*D29*12-3141.12</f>
        <v>168000</v>
      </c>
      <c r="M29" s="23"/>
      <c r="N29" s="107"/>
    </row>
    <row r="30" spans="1:14" ht="14.25" customHeight="1" x14ac:dyDescent="0.25">
      <c r="A30" s="63" t="s">
        <v>409</v>
      </c>
      <c r="B30" s="67" t="s">
        <v>429</v>
      </c>
      <c r="C30" s="111">
        <v>0.5</v>
      </c>
      <c r="D30" s="149">
        <f t="shared" si="5"/>
        <v>14261.76</v>
      </c>
      <c r="E30" s="149">
        <v>7428</v>
      </c>
      <c r="F30" s="149">
        <f t="shared" si="6"/>
        <v>1485.6000000000001</v>
      </c>
      <c r="G30" s="149"/>
      <c r="H30" s="150">
        <v>30</v>
      </c>
      <c r="I30" s="149">
        <f t="shared" si="7"/>
        <v>2674.08</v>
      </c>
      <c r="J30" s="150">
        <v>30</v>
      </c>
      <c r="K30" s="149">
        <f t="shared" si="8"/>
        <v>2674.08</v>
      </c>
      <c r="L30" s="149">
        <f>C30*D30*12-1570.56</f>
        <v>84000</v>
      </c>
      <c r="M30" s="23"/>
      <c r="N30" s="107"/>
    </row>
    <row r="31" spans="1:14" ht="14.25" customHeight="1" x14ac:dyDescent="0.25">
      <c r="A31" s="63" t="s">
        <v>401</v>
      </c>
      <c r="B31" s="67" t="s">
        <v>430</v>
      </c>
      <c r="C31" s="111">
        <v>1.5</v>
      </c>
      <c r="D31" s="149">
        <f t="shared" si="5"/>
        <v>25100.16</v>
      </c>
      <c r="E31" s="149">
        <v>13073</v>
      </c>
      <c r="F31" s="149">
        <f t="shared" si="6"/>
        <v>2614.6000000000004</v>
      </c>
      <c r="G31" s="149"/>
      <c r="H31" s="150">
        <v>30</v>
      </c>
      <c r="I31" s="149">
        <f t="shared" si="7"/>
        <v>4706.28</v>
      </c>
      <c r="J31" s="150">
        <v>30</v>
      </c>
      <c r="K31" s="149">
        <f t="shared" si="8"/>
        <v>4706.28</v>
      </c>
      <c r="L31" s="149">
        <f>C31*D31*7-11551.68</f>
        <v>252000</v>
      </c>
      <c r="M31" s="23"/>
      <c r="N31" s="107"/>
    </row>
    <row r="32" spans="1:14" ht="26.3" customHeight="1" x14ac:dyDescent="0.25">
      <c r="A32" s="63" t="s">
        <v>422</v>
      </c>
      <c r="B32" s="67" t="s">
        <v>431</v>
      </c>
      <c r="C32" s="111">
        <v>0.75</v>
      </c>
      <c r="D32" s="149">
        <f t="shared" si="5"/>
        <v>25100.16</v>
      </c>
      <c r="E32" s="149">
        <v>13073</v>
      </c>
      <c r="F32" s="149">
        <f t="shared" si="6"/>
        <v>2614.6000000000004</v>
      </c>
      <c r="G32" s="149"/>
      <c r="H32" s="150">
        <v>30</v>
      </c>
      <c r="I32" s="149">
        <f t="shared" si="7"/>
        <v>4706.28</v>
      </c>
      <c r="J32" s="150">
        <v>30</v>
      </c>
      <c r="K32" s="149">
        <f t="shared" si="8"/>
        <v>4706.28</v>
      </c>
      <c r="L32" s="149">
        <f>C32*D32*7-5775.84</f>
        <v>126000</v>
      </c>
      <c r="M32" s="23"/>
      <c r="N32" s="107"/>
    </row>
    <row r="33" spans="1:14" ht="14.25" customHeight="1" x14ac:dyDescent="0.25">
      <c r="A33" s="63" t="s">
        <v>402</v>
      </c>
      <c r="B33" s="67" t="s">
        <v>432</v>
      </c>
      <c r="C33" s="111">
        <v>1</v>
      </c>
      <c r="D33" s="149">
        <f t="shared" si="5"/>
        <v>25100.16</v>
      </c>
      <c r="E33" s="149">
        <v>13073</v>
      </c>
      <c r="F33" s="149">
        <f t="shared" si="6"/>
        <v>2614.6000000000004</v>
      </c>
      <c r="G33" s="149"/>
      <c r="H33" s="150">
        <v>30</v>
      </c>
      <c r="I33" s="149">
        <f t="shared" si="7"/>
        <v>4706.28</v>
      </c>
      <c r="J33" s="150">
        <v>30</v>
      </c>
      <c r="K33" s="149">
        <f t="shared" si="8"/>
        <v>4706.28</v>
      </c>
      <c r="L33" s="149">
        <f>C33*D33*7-7701.12</f>
        <v>168000</v>
      </c>
      <c r="M33" s="23"/>
      <c r="N33" s="107"/>
    </row>
    <row r="34" spans="1:14" ht="26.3" customHeight="1" x14ac:dyDescent="0.25">
      <c r="A34" s="63" t="s">
        <v>400</v>
      </c>
      <c r="B34" s="67" t="s">
        <v>433</v>
      </c>
      <c r="C34" s="111">
        <v>0.75</v>
      </c>
      <c r="D34" s="149">
        <f t="shared" si="5"/>
        <v>25100.16</v>
      </c>
      <c r="E34" s="149">
        <v>13073</v>
      </c>
      <c r="F34" s="149">
        <f t="shared" si="6"/>
        <v>2614.6000000000004</v>
      </c>
      <c r="G34" s="149"/>
      <c r="H34" s="150">
        <v>30</v>
      </c>
      <c r="I34" s="149">
        <f t="shared" si="7"/>
        <v>4706.28</v>
      </c>
      <c r="J34" s="150">
        <v>30</v>
      </c>
      <c r="K34" s="149">
        <f t="shared" si="8"/>
        <v>4706.28</v>
      </c>
      <c r="L34" s="149">
        <f>C34*D34*7-5775.84</f>
        <v>126000</v>
      </c>
      <c r="M34" s="23"/>
      <c r="N34" s="107"/>
    </row>
    <row r="35" spans="1:14" ht="14.25" customHeight="1" x14ac:dyDescent="0.25">
      <c r="A35" s="63" t="s">
        <v>403</v>
      </c>
      <c r="B35" s="67" t="s">
        <v>434</v>
      </c>
      <c r="C35" s="111">
        <v>1</v>
      </c>
      <c r="D35" s="149">
        <f t="shared" si="5"/>
        <v>25100.16</v>
      </c>
      <c r="E35" s="149">
        <v>13073</v>
      </c>
      <c r="F35" s="149">
        <f t="shared" si="6"/>
        <v>2614.6000000000004</v>
      </c>
      <c r="G35" s="149"/>
      <c r="H35" s="150">
        <v>30</v>
      </c>
      <c r="I35" s="149">
        <f t="shared" si="7"/>
        <v>4706.28</v>
      </c>
      <c r="J35" s="150">
        <v>30</v>
      </c>
      <c r="K35" s="149">
        <f t="shared" si="8"/>
        <v>4706.28</v>
      </c>
      <c r="L35" s="149">
        <f>C35*D35*6-6600.96</f>
        <v>144000</v>
      </c>
      <c r="M35" s="23"/>
      <c r="N35" s="107"/>
    </row>
    <row r="36" spans="1:14" ht="14.25" customHeight="1" x14ac:dyDescent="0.25">
      <c r="A36" s="63" t="s">
        <v>399</v>
      </c>
      <c r="B36" s="67" t="s">
        <v>435</v>
      </c>
      <c r="C36" s="111">
        <v>1</v>
      </c>
      <c r="D36" s="149">
        <f t="shared" si="5"/>
        <v>25100.16</v>
      </c>
      <c r="E36" s="149">
        <v>13073</v>
      </c>
      <c r="F36" s="149">
        <f t="shared" si="6"/>
        <v>2614.6000000000004</v>
      </c>
      <c r="G36" s="149"/>
      <c r="H36" s="150">
        <v>30</v>
      </c>
      <c r="I36" s="149">
        <f t="shared" si="7"/>
        <v>4706.28</v>
      </c>
      <c r="J36" s="150">
        <v>30</v>
      </c>
      <c r="K36" s="149">
        <f t="shared" si="8"/>
        <v>4706.28</v>
      </c>
      <c r="L36" s="149">
        <f>C36*D36*6-6600.96</f>
        <v>144000</v>
      </c>
      <c r="M36" s="23"/>
      <c r="N36" s="107"/>
    </row>
    <row r="37" spans="1:14" ht="27.1" customHeight="1" x14ac:dyDescent="0.25">
      <c r="A37" s="64" t="s">
        <v>419</v>
      </c>
      <c r="B37" s="67" t="s">
        <v>436</v>
      </c>
      <c r="C37" s="111">
        <v>0.25</v>
      </c>
      <c r="D37" s="149">
        <f t="shared" si="5"/>
        <v>9914.880000000001</v>
      </c>
      <c r="E37" s="149">
        <v>5164</v>
      </c>
      <c r="F37" s="149">
        <f t="shared" si="6"/>
        <v>1032.8</v>
      </c>
      <c r="G37" s="149"/>
      <c r="H37" s="150">
        <v>30</v>
      </c>
      <c r="I37" s="149">
        <f t="shared" si="7"/>
        <v>1859.04</v>
      </c>
      <c r="J37" s="150">
        <v>30</v>
      </c>
      <c r="K37" s="149">
        <f t="shared" si="8"/>
        <v>1859.04</v>
      </c>
      <c r="L37" s="149">
        <f>C37*D37*12-5744.64</f>
        <v>24000.000000000004</v>
      </c>
      <c r="M37" s="23"/>
      <c r="N37" s="107"/>
    </row>
    <row r="38" spans="1:14" ht="14.25" customHeight="1" x14ac:dyDescent="0.25">
      <c r="A38" s="64" t="s">
        <v>414</v>
      </c>
      <c r="B38" s="67" t="s">
        <v>437</v>
      </c>
      <c r="C38" s="111">
        <v>1</v>
      </c>
      <c r="D38" s="149">
        <f t="shared" si="5"/>
        <v>8221.44</v>
      </c>
      <c r="E38" s="149">
        <v>4282</v>
      </c>
      <c r="F38" s="149">
        <f t="shared" si="6"/>
        <v>856.40000000000009</v>
      </c>
      <c r="G38" s="149"/>
      <c r="H38" s="150">
        <v>30</v>
      </c>
      <c r="I38" s="149">
        <f t="shared" si="7"/>
        <v>1541.52</v>
      </c>
      <c r="J38" s="150">
        <v>30</v>
      </c>
      <c r="K38" s="149">
        <f t="shared" si="8"/>
        <v>1541.52</v>
      </c>
      <c r="L38" s="149">
        <f>C38*D38*12+7842.72</f>
        <v>106500</v>
      </c>
      <c r="M38" s="23"/>
      <c r="N38" s="107"/>
    </row>
    <row r="39" spans="1:14" ht="14.25" customHeight="1" x14ac:dyDescent="0.25">
      <c r="A39" s="64" t="s">
        <v>420</v>
      </c>
      <c r="B39" s="67" t="s">
        <v>438</v>
      </c>
      <c r="C39" s="111">
        <v>1</v>
      </c>
      <c r="D39" s="149">
        <f t="shared" si="5"/>
        <v>8221.44</v>
      </c>
      <c r="E39" s="149">
        <v>4282</v>
      </c>
      <c r="F39" s="149">
        <f t="shared" si="6"/>
        <v>856.40000000000009</v>
      </c>
      <c r="G39" s="149"/>
      <c r="H39" s="150">
        <v>30</v>
      </c>
      <c r="I39" s="149">
        <f t="shared" si="7"/>
        <v>1541.52</v>
      </c>
      <c r="J39" s="150">
        <v>30</v>
      </c>
      <c r="K39" s="149">
        <f t="shared" si="8"/>
        <v>1541.52</v>
      </c>
      <c r="L39" s="149">
        <f>C39*D39*12+7842.72</f>
        <v>106500</v>
      </c>
      <c r="M39" s="23"/>
      <c r="N39" s="107"/>
    </row>
    <row r="40" spans="1:14" ht="16.45" customHeight="1" x14ac:dyDescent="0.25">
      <c r="A40" s="64" t="s">
        <v>610</v>
      </c>
      <c r="B40" s="67" t="s">
        <v>439</v>
      </c>
      <c r="C40" s="111">
        <v>0.75</v>
      </c>
      <c r="D40" s="149">
        <f t="shared" si="5"/>
        <v>16323.839999999998</v>
      </c>
      <c r="E40" s="149">
        <v>8502</v>
      </c>
      <c r="F40" s="149">
        <f t="shared" si="6"/>
        <v>1700.4</v>
      </c>
      <c r="G40" s="149"/>
      <c r="H40" s="150">
        <v>30</v>
      </c>
      <c r="I40" s="149">
        <f t="shared" si="7"/>
        <v>3060.72</v>
      </c>
      <c r="J40" s="150">
        <v>30</v>
      </c>
      <c r="K40" s="149">
        <f t="shared" si="8"/>
        <v>3060.72</v>
      </c>
      <c r="L40" s="149">
        <f>C40*D40*6-1457.28</f>
        <v>72000</v>
      </c>
      <c r="M40" s="23"/>
      <c r="N40" s="107"/>
    </row>
    <row r="41" spans="1:14" ht="15.05" customHeight="1" x14ac:dyDescent="0.25">
      <c r="A41" s="64" t="s">
        <v>417</v>
      </c>
      <c r="B41" s="67" t="s">
        <v>440</v>
      </c>
      <c r="C41" s="111">
        <v>0.75</v>
      </c>
      <c r="D41" s="149">
        <f t="shared" si="5"/>
        <v>16323.839999999998</v>
      </c>
      <c r="E41" s="149">
        <v>8502</v>
      </c>
      <c r="F41" s="149">
        <f t="shared" si="6"/>
        <v>1700.4</v>
      </c>
      <c r="G41" s="149"/>
      <c r="H41" s="150">
        <v>30</v>
      </c>
      <c r="I41" s="149">
        <f t="shared" si="7"/>
        <v>3060.72</v>
      </c>
      <c r="J41" s="150">
        <v>30</v>
      </c>
      <c r="K41" s="149">
        <f t="shared" si="8"/>
        <v>3060.72</v>
      </c>
      <c r="L41" s="149">
        <f>C41*D41*6-1457.28</f>
        <v>72000</v>
      </c>
      <c r="M41" s="23"/>
      <c r="N41" s="107"/>
    </row>
    <row r="42" spans="1:14" ht="15.05" customHeight="1" x14ac:dyDescent="0.25">
      <c r="A42" s="64" t="s">
        <v>592</v>
      </c>
      <c r="B42" s="67" t="s">
        <v>441</v>
      </c>
      <c r="C42" s="111">
        <v>0.5</v>
      </c>
      <c r="D42" s="149">
        <f t="shared" si="5"/>
        <v>7480.32</v>
      </c>
      <c r="E42" s="149">
        <v>3896</v>
      </c>
      <c r="F42" s="149">
        <f t="shared" si="6"/>
        <v>779.2</v>
      </c>
      <c r="G42" s="149"/>
      <c r="H42" s="150">
        <v>30</v>
      </c>
      <c r="I42" s="149">
        <f t="shared" si="7"/>
        <v>1402.56</v>
      </c>
      <c r="J42" s="150">
        <v>30</v>
      </c>
      <c r="K42" s="149">
        <f t="shared" si="8"/>
        <v>1402.56</v>
      </c>
      <c r="L42" s="149">
        <f>C42*D42*12+3118.08</f>
        <v>48000</v>
      </c>
      <c r="M42" s="23"/>
      <c r="N42" s="107"/>
    </row>
    <row r="43" spans="1:14" ht="15.05" customHeight="1" x14ac:dyDescent="0.25">
      <c r="A43" s="63" t="s">
        <v>408</v>
      </c>
      <c r="B43" s="67" t="s">
        <v>425</v>
      </c>
      <c r="C43" s="111">
        <v>0.75</v>
      </c>
      <c r="D43" s="149">
        <f t="shared" si="5"/>
        <v>19224.96</v>
      </c>
      <c r="E43" s="149">
        <v>10013</v>
      </c>
      <c r="F43" s="149">
        <f t="shared" si="6"/>
        <v>2002.6000000000001</v>
      </c>
      <c r="G43" s="149"/>
      <c r="H43" s="150">
        <v>30</v>
      </c>
      <c r="I43" s="149">
        <f t="shared" si="7"/>
        <v>3604.68</v>
      </c>
      <c r="J43" s="150">
        <v>30</v>
      </c>
      <c r="K43" s="149">
        <f t="shared" si="8"/>
        <v>3604.68</v>
      </c>
      <c r="L43" s="149">
        <f>C43*D43*5-93.6</f>
        <v>71999.999999999985</v>
      </c>
      <c r="M43" s="23"/>
      <c r="N43" s="107"/>
    </row>
    <row r="44" spans="1:14" ht="15.85" customHeight="1" x14ac:dyDescent="0.25">
      <c r="A44" s="64" t="s">
        <v>418</v>
      </c>
      <c r="B44" s="67" t="s">
        <v>442</v>
      </c>
      <c r="C44" s="111">
        <v>0.5</v>
      </c>
      <c r="D44" s="149">
        <f t="shared" si="5"/>
        <v>19224.96</v>
      </c>
      <c r="E44" s="149">
        <v>10013</v>
      </c>
      <c r="F44" s="149">
        <f t="shared" si="6"/>
        <v>2002.6000000000001</v>
      </c>
      <c r="G44" s="149"/>
      <c r="H44" s="150">
        <v>30</v>
      </c>
      <c r="I44" s="149">
        <f t="shared" si="7"/>
        <v>3604.68</v>
      </c>
      <c r="J44" s="150">
        <v>30</v>
      </c>
      <c r="K44" s="149">
        <f t="shared" si="8"/>
        <v>3604.68</v>
      </c>
      <c r="L44" s="149">
        <f>C44*D44*5-62.4</f>
        <v>47999.999999999993</v>
      </c>
      <c r="M44" s="23"/>
      <c r="N44" s="107"/>
    </row>
    <row r="45" spans="1:14" ht="14.25" customHeight="1" x14ac:dyDescent="0.25">
      <c r="A45" s="63" t="s">
        <v>407</v>
      </c>
      <c r="B45" s="67" t="s">
        <v>443</v>
      </c>
      <c r="C45" s="111">
        <v>2.5</v>
      </c>
      <c r="D45" s="149">
        <f t="shared" si="5"/>
        <v>19224.96</v>
      </c>
      <c r="E45" s="149">
        <v>10013</v>
      </c>
      <c r="F45" s="149">
        <f t="shared" si="6"/>
        <v>2002.6000000000001</v>
      </c>
      <c r="G45" s="149"/>
      <c r="H45" s="150">
        <v>30</v>
      </c>
      <c r="I45" s="149">
        <f t="shared" si="7"/>
        <v>3604.68</v>
      </c>
      <c r="J45" s="150">
        <v>30</v>
      </c>
      <c r="K45" s="149">
        <f t="shared" si="8"/>
        <v>3604.68</v>
      </c>
      <c r="L45" s="149">
        <f>C45*D45*5-312</f>
        <v>239999.99999999997</v>
      </c>
      <c r="M45" s="23"/>
      <c r="N45" s="107"/>
    </row>
    <row r="46" spans="1:14" ht="14.25" customHeight="1" x14ac:dyDescent="0.25">
      <c r="A46" s="63" t="s">
        <v>638</v>
      </c>
      <c r="B46" s="67" t="s">
        <v>444</v>
      </c>
      <c r="C46" s="111">
        <v>0.5</v>
      </c>
      <c r="D46" s="149">
        <f t="shared" ref="D46" si="9">E46+F46+G46+I46+K46</f>
        <v>9914.880000000001</v>
      </c>
      <c r="E46" s="149">
        <v>5164</v>
      </c>
      <c r="F46" s="149">
        <f t="shared" ref="F46" si="10">E46*0.2</f>
        <v>1032.8</v>
      </c>
      <c r="G46" s="149"/>
      <c r="H46" s="150">
        <v>30</v>
      </c>
      <c r="I46" s="149">
        <f t="shared" ref="I46" si="11">(E46+F46+G46)*H46/100</f>
        <v>1859.04</v>
      </c>
      <c r="J46" s="150">
        <v>30</v>
      </c>
      <c r="K46" s="149">
        <f t="shared" ref="K46" si="12">(E46+F46+G46)*J46/100</f>
        <v>1859.04</v>
      </c>
      <c r="L46" s="149">
        <f>C46*D46*10-1574.4</f>
        <v>48000.000000000007</v>
      </c>
      <c r="M46" s="23"/>
      <c r="N46" s="107"/>
    </row>
    <row r="47" spans="1:14" ht="15.85" customHeight="1" x14ac:dyDescent="0.25">
      <c r="A47" s="63" t="s">
        <v>404</v>
      </c>
      <c r="B47" s="67" t="s">
        <v>426</v>
      </c>
      <c r="C47" s="111">
        <v>0.75</v>
      </c>
      <c r="D47" s="149">
        <f>E47+F47+G47+I47+K47</f>
        <v>19224.96</v>
      </c>
      <c r="E47" s="149">
        <v>10013</v>
      </c>
      <c r="F47" s="149">
        <f>E47*0.2</f>
        <v>2002.6000000000001</v>
      </c>
      <c r="G47" s="149"/>
      <c r="H47" s="150">
        <v>30</v>
      </c>
      <c r="I47" s="149">
        <f>(E47+F47+G47)*H47/100</f>
        <v>3604.68</v>
      </c>
      <c r="J47" s="150">
        <v>30</v>
      </c>
      <c r="K47" s="149">
        <f>(E47+F47+G47)*J47/100</f>
        <v>3604.68</v>
      </c>
      <c r="L47" s="149">
        <f>C47*D47*5-93.6</f>
        <v>71999.999999999985</v>
      </c>
      <c r="M47" s="23"/>
      <c r="N47" s="107"/>
    </row>
    <row r="48" spans="1:14" ht="14.25" customHeight="1" x14ac:dyDescent="0.25">
      <c r="A48" s="63" t="s">
        <v>405</v>
      </c>
      <c r="B48" s="67" t="s">
        <v>445</v>
      </c>
      <c r="C48" s="111">
        <v>0.25</v>
      </c>
      <c r="D48" s="149">
        <f t="shared" si="1"/>
        <v>19224.96</v>
      </c>
      <c r="E48" s="149">
        <v>10013</v>
      </c>
      <c r="F48" s="149">
        <f t="shared" si="2"/>
        <v>2002.6000000000001</v>
      </c>
      <c r="G48" s="149"/>
      <c r="H48" s="150">
        <v>30</v>
      </c>
      <c r="I48" s="149">
        <f t="shared" si="3"/>
        <v>3604.68</v>
      </c>
      <c r="J48" s="150">
        <v>30</v>
      </c>
      <c r="K48" s="149">
        <f t="shared" si="4"/>
        <v>3604.68</v>
      </c>
      <c r="L48" s="149">
        <f>C48*D48*5-31.2</f>
        <v>23999.999999999996</v>
      </c>
      <c r="M48" s="122"/>
      <c r="N48" s="107"/>
    </row>
    <row r="49" spans="1:14" ht="14.25" customHeight="1" x14ac:dyDescent="0.25">
      <c r="A49" s="63" t="s">
        <v>406</v>
      </c>
      <c r="B49" s="67" t="s">
        <v>446</v>
      </c>
      <c r="C49" s="111">
        <v>1</v>
      </c>
      <c r="D49" s="149">
        <f t="shared" si="1"/>
        <v>19224.96</v>
      </c>
      <c r="E49" s="149">
        <v>10013</v>
      </c>
      <c r="F49" s="149">
        <f t="shared" si="2"/>
        <v>2002.6000000000001</v>
      </c>
      <c r="G49" s="149"/>
      <c r="H49" s="150">
        <v>30</v>
      </c>
      <c r="I49" s="149">
        <f t="shared" si="3"/>
        <v>3604.68</v>
      </c>
      <c r="J49" s="150">
        <v>30</v>
      </c>
      <c r="K49" s="149">
        <f t="shared" si="4"/>
        <v>3604.68</v>
      </c>
      <c r="L49" s="149">
        <f>C49*D49*5-124.8</f>
        <v>95999.999999999985</v>
      </c>
      <c r="M49" s="23"/>
      <c r="N49" s="107"/>
    </row>
    <row r="50" spans="1:14" ht="14.25" customHeight="1" x14ac:dyDescent="0.25">
      <c r="A50" s="64" t="s">
        <v>421</v>
      </c>
      <c r="B50" s="67" t="s">
        <v>447</v>
      </c>
      <c r="C50" s="111">
        <v>1</v>
      </c>
      <c r="D50" s="149">
        <f>E50+F50+G50+I50+K50</f>
        <v>6741.12</v>
      </c>
      <c r="E50" s="149">
        <v>3511</v>
      </c>
      <c r="F50" s="149">
        <f>E50*0.2</f>
        <v>702.2</v>
      </c>
      <c r="G50" s="149"/>
      <c r="H50" s="150">
        <v>30</v>
      </c>
      <c r="I50" s="149">
        <f>(E50+F50+G50)*H50/100</f>
        <v>1263.96</v>
      </c>
      <c r="J50" s="150">
        <v>30</v>
      </c>
      <c r="K50" s="149">
        <f>(E50+F50+G50)*J50/100</f>
        <v>1263.96</v>
      </c>
      <c r="L50" s="149">
        <f>C50*D50*12+3106.56</f>
        <v>84000</v>
      </c>
      <c r="M50" s="23"/>
      <c r="N50" s="107"/>
    </row>
    <row r="51" spans="1:14" ht="13.5" customHeight="1" x14ac:dyDescent="0.25">
      <c r="A51" s="64" t="s">
        <v>413</v>
      </c>
      <c r="B51" s="67" t="s">
        <v>448</v>
      </c>
      <c r="C51" s="111">
        <v>2</v>
      </c>
      <c r="D51" s="149">
        <f>E51+F51+G51+I51+K51</f>
        <v>11399.039999999999</v>
      </c>
      <c r="E51" s="149">
        <v>5937</v>
      </c>
      <c r="F51" s="149">
        <f>E51*0.2</f>
        <v>1187.4000000000001</v>
      </c>
      <c r="G51" s="149"/>
      <c r="H51" s="150">
        <v>30</v>
      </c>
      <c r="I51" s="149">
        <f>(E51+F51+G51)*H51/100</f>
        <v>2137.3200000000002</v>
      </c>
      <c r="J51" s="150">
        <v>30</v>
      </c>
      <c r="K51" s="149">
        <f>(E51+F51+G51)*J51/100</f>
        <v>2137.3200000000002</v>
      </c>
      <c r="L51" s="149">
        <f>C51*D51*7+8413.44</f>
        <v>168000</v>
      </c>
      <c r="M51" s="23"/>
      <c r="N51" s="107"/>
    </row>
    <row r="52" spans="1:14" ht="16.45" customHeight="1" x14ac:dyDescent="0.25">
      <c r="A52" s="63" t="s">
        <v>423</v>
      </c>
      <c r="B52" s="67" t="s">
        <v>449</v>
      </c>
      <c r="C52" s="111">
        <v>5</v>
      </c>
      <c r="D52" s="149">
        <f t="shared" ref="D52" si="13">E52+F52+G52+I52+K52</f>
        <v>10112.64</v>
      </c>
      <c r="E52" s="149">
        <v>5267</v>
      </c>
      <c r="F52" s="149">
        <f t="shared" ref="F52" si="14">E52*0.2</f>
        <v>1053.4000000000001</v>
      </c>
      <c r="G52" s="149"/>
      <c r="H52" s="150">
        <v>30</v>
      </c>
      <c r="I52" s="149">
        <f t="shared" ref="I52" si="15">(E52+F52+G52)*H52/100</f>
        <v>1896.12</v>
      </c>
      <c r="J52" s="150">
        <v>30</v>
      </c>
      <c r="K52" s="149">
        <f t="shared" ref="K52" si="16">(E52+F52+G52)*J52/100</f>
        <v>1896.12</v>
      </c>
      <c r="L52" s="149">
        <f>C52*D52*8+15494</f>
        <v>419999.6</v>
      </c>
      <c r="M52" s="23"/>
      <c r="N52" s="107"/>
    </row>
    <row r="53" spans="1:14" ht="28.5" customHeight="1" x14ac:dyDescent="0.25">
      <c r="A53" s="63" t="s">
        <v>639</v>
      </c>
      <c r="B53" s="67" t="s">
        <v>450</v>
      </c>
      <c r="C53" s="111">
        <v>1.5</v>
      </c>
      <c r="D53" s="149">
        <f t="shared" ref="D53:D54" si="17">E53+F53+G53+I53+K53</f>
        <v>10112.64</v>
      </c>
      <c r="E53" s="149">
        <v>5267</v>
      </c>
      <c r="F53" s="149">
        <f t="shared" ref="F53:F54" si="18">E53*0.2</f>
        <v>1053.4000000000001</v>
      </c>
      <c r="G53" s="149"/>
      <c r="H53" s="150">
        <v>30</v>
      </c>
      <c r="I53" s="149">
        <f t="shared" ref="I53:I54" si="19">(E53+F53+G53)*H53/100</f>
        <v>1896.12</v>
      </c>
      <c r="J53" s="150">
        <v>30</v>
      </c>
      <c r="K53" s="149">
        <f t="shared" ref="K53:K54" si="20">(E53+F53+G53)*J53/100</f>
        <v>1896.12</v>
      </c>
      <c r="L53" s="149">
        <f>C53*D53*8+4648.32</f>
        <v>126000</v>
      </c>
      <c r="M53" s="23"/>
      <c r="N53" s="107"/>
    </row>
    <row r="54" spans="1:14" ht="27.1" customHeight="1" x14ac:dyDescent="0.25">
      <c r="A54" s="63" t="s">
        <v>640</v>
      </c>
      <c r="B54" s="67" t="s">
        <v>451</v>
      </c>
      <c r="C54" s="111">
        <v>0.5</v>
      </c>
      <c r="D54" s="149">
        <f t="shared" si="17"/>
        <v>9932.16</v>
      </c>
      <c r="E54" s="149">
        <v>5173</v>
      </c>
      <c r="F54" s="149">
        <f t="shared" si="18"/>
        <v>1034.6000000000001</v>
      </c>
      <c r="G54" s="149"/>
      <c r="H54" s="150">
        <v>30</v>
      </c>
      <c r="I54" s="149">
        <f t="shared" si="19"/>
        <v>1862.28</v>
      </c>
      <c r="J54" s="150">
        <v>30</v>
      </c>
      <c r="K54" s="149">
        <f t="shared" si="20"/>
        <v>1862.28</v>
      </c>
      <c r="L54" s="149">
        <f>C54*D54*8+2271.36</f>
        <v>42000</v>
      </c>
      <c r="M54" s="23"/>
      <c r="N54" s="107"/>
    </row>
    <row r="55" spans="1:14" ht="15.05" customHeight="1" x14ac:dyDescent="0.25">
      <c r="A55" s="63" t="s">
        <v>415</v>
      </c>
      <c r="B55" s="67" t="s">
        <v>452</v>
      </c>
      <c r="C55" s="111">
        <v>8</v>
      </c>
      <c r="D55" s="149">
        <f>E55+F55+G55+I55+K55</f>
        <v>8686.08</v>
      </c>
      <c r="E55" s="149">
        <v>4524</v>
      </c>
      <c r="F55" s="149">
        <f>E55*0.2</f>
        <v>904.80000000000007</v>
      </c>
      <c r="G55" s="149"/>
      <c r="H55" s="150">
        <v>30</v>
      </c>
      <c r="I55" s="149">
        <f>(E55+F55+G55)*H55/100</f>
        <v>1628.64</v>
      </c>
      <c r="J55" s="150">
        <v>30</v>
      </c>
      <c r="K55" s="149">
        <f>(E55+F55+G55)*J55/100</f>
        <v>1628.64</v>
      </c>
      <c r="L55" s="149">
        <f>C55*D55*10-22886.4</f>
        <v>672000</v>
      </c>
      <c r="M55" s="23"/>
      <c r="N55" s="107"/>
    </row>
    <row r="56" spans="1:14" ht="14.25" customHeight="1" x14ac:dyDescent="0.25">
      <c r="A56" s="64" t="s">
        <v>411</v>
      </c>
      <c r="B56" s="67" t="s">
        <v>453</v>
      </c>
      <c r="C56" s="111">
        <v>1</v>
      </c>
      <c r="D56" s="149">
        <f t="shared" ref="D56:D63" si="21">E56+F56+G56+I56+K56</f>
        <v>9932.16</v>
      </c>
      <c r="E56" s="149">
        <v>5173</v>
      </c>
      <c r="F56" s="149">
        <f t="shared" ref="F56:F63" si="22">E56*0.2</f>
        <v>1034.6000000000001</v>
      </c>
      <c r="G56" s="149"/>
      <c r="H56" s="150">
        <v>30</v>
      </c>
      <c r="I56" s="149">
        <f t="shared" ref="I56:I63" si="23">(E56+F56+G56)*H56/100</f>
        <v>1862.28</v>
      </c>
      <c r="J56" s="150">
        <v>30</v>
      </c>
      <c r="K56" s="149">
        <f t="shared" ref="K56:K63" si="24">(E56+F56+G56)*J56/100</f>
        <v>1862.28</v>
      </c>
      <c r="L56" s="149">
        <f>C56*D56*9-5389.44</f>
        <v>84000</v>
      </c>
      <c r="M56" s="23"/>
      <c r="N56" s="107"/>
    </row>
    <row r="57" spans="1:14" ht="15.05" customHeight="1" x14ac:dyDescent="0.25">
      <c r="A57" s="64" t="s">
        <v>609</v>
      </c>
      <c r="B57" s="67" t="s">
        <v>611</v>
      </c>
      <c r="C57" s="111">
        <v>0.75</v>
      </c>
      <c r="D57" s="149">
        <f t="shared" si="21"/>
        <v>7480.32</v>
      </c>
      <c r="E57" s="149">
        <v>3896</v>
      </c>
      <c r="F57" s="149">
        <f t="shared" si="22"/>
        <v>779.2</v>
      </c>
      <c r="G57" s="149"/>
      <c r="H57" s="150">
        <v>30</v>
      </c>
      <c r="I57" s="149">
        <f t="shared" si="23"/>
        <v>1402.56</v>
      </c>
      <c r="J57" s="150">
        <v>30</v>
      </c>
      <c r="K57" s="149">
        <f t="shared" si="24"/>
        <v>1402.56</v>
      </c>
      <c r="L57" s="149">
        <f>C57*D57*12-4322.88</f>
        <v>63000.000000000007</v>
      </c>
      <c r="M57" s="23"/>
      <c r="N57" s="107"/>
    </row>
    <row r="58" spans="1:14" ht="15.05" customHeight="1" x14ac:dyDescent="0.25">
      <c r="A58" s="64" t="s">
        <v>424</v>
      </c>
      <c r="B58" s="67" t="s">
        <v>612</v>
      </c>
      <c r="C58" s="111">
        <v>0.75</v>
      </c>
      <c r="D58" s="149">
        <f t="shared" si="21"/>
        <v>6741.12</v>
      </c>
      <c r="E58" s="149">
        <v>3511</v>
      </c>
      <c r="F58" s="149">
        <f t="shared" si="22"/>
        <v>702.2</v>
      </c>
      <c r="G58" s="149"/>
      <c r="H58" s="150">
        <v>30</v>
      </c>
      <c r="I58" s="149">
        <f t="shared" si="23"/>
        <v>1263.96</v>
      </c>
      <c r="J58" s="150">
        <v>30</v>
      </c>
      <c r="K58" s="149">
        <f t="shared" si="24"/>
        <v>1263.96</v>
      </c>
      <c r="L58" s="149">
        <f>C58*D58*12+2329.92</f>
        <v>63000</v>
      </c>
      <c r="M58" s="23"/>
      <c r="N58" s="107"/>
    </row>
    <row r="59" spans="1:14" ht="14.25" customHeight="1" x14ac:dyDescent="0.25">
      <c r="A59" s="64" t="s">
        <v>412</v>
      </c>
      <c r="B59" s="67" t="s">
        <v>613</v>
      </c>
      <c r="C59" s="111">
        <v>2</v>
      </c>
      <c r="D59" s="149">
        <f t="shared" si="21"/>
        <v>9780.48</v>
      </c>
      <c r="E59" s="149">
        <v>5094</v>
      </c>
      <c r="F59" s="149">
        <f t="shared" si="22"/>
        <v>1018.8000000000001</v>
      </c>
      <c r="G59" s="149"/>
      <c r="H59" s="150">
        <v>30</v>
      </c>
      <c r="I59" s="149">
        <f t="shared" si="23"/>
        <v>1833.84</v>
      </c>
      <c r="J59" s="150">
        <v>30</v>
      </c>
      <c r="K59" s="149">
        <f t="shared" si="24"/>
        <v>1833.84</v>
      </c>
      <c r="L59" s="149">
        <f>C59*D59*5-1804.8</f>
        <v>95999.999999999985</v>
      </c>
      <c r="M59" s="23"/>
      <c r="N59" s="107"/>
    </row>
    <row r="60" spans="1:14" ht="27.1" customHeight="1" x14ac:dyDescent="0.25">
      <c r="A60" s="64" t="s">
        <v>641</v>
      </c>
      <c r="B60" s="67" t="s">
        <v>614</v>
      </c>
      <c r="C60" s="111">
        <v>7.5</v>
      </c>
      <c r="D60" s="149">
        <f t="shared" si="21"/>
        <v>14261.76</v>
      </c>
      <c r="E60" s="149">
        <v>7428</v>
      </c>
      <c r="F60" s="149">
        <f t="shared" si="22"/>
        <v>1485.6000000000001</v>
      </c>
      <c r="G60" s="149"/>
      <c r="H60" s="150">
        <v>30</v>
      </c>
      <c r="I60" s="149">
        <f t="shared" si="23"/>
        <v>2674.08</v>
      </c>
      <c r="J60" s="150">
        <v>30</v>
      </c>
      <c r="K60" s="149">
        <f t="shared" si="24"/>
        <v>2674.08</v>
      </c>
      <c r="L60" s="149">
        <f>C60*D60*3+39110.4</f>
        <v>360000</v>
      </c>
      <c r="M60" s="23"/>
      <c r="N60" s="107"/>
    </row>
    <row r="61" spans="1:14" ht="14.25" customHeight="1" x14ac:dyDescent="0.25">
      <c r="A61" s="64" t="s">
        <v>416</v>
      </c>
      <c r="B61" s="67" t="s">
        <v>615</v>
      </c>
      <c r="C61" s="111">
        <v>1</v>
      </c>
      <c r="D61" s="149">
        <f t="shared" si="21"/>
        <v>28000.000154879999</v>
      </c>
      <c r="E61" s="149">
        <v>4524</v>
      </c>
      <c r="F61" s="149">
        <f t="shared" si="22"/>
        <v>904.80000000000007</v>
      </c>
      <c r="G61" s="159">
        <f>E61*2.6682582</f>
        <v>12071.200096799999</v>
      </c>
      <c r="H61" s="150">
        <v>30</v>
      </c>
      <c r="I61" s="149">
        <f t="shared" si="23"/>
        <v>5250.0000290400003</v>
      </c>
      <c r="J61" s="150">
        <v>30</v>
      </c>
      <c r="K61" s="149">
        <f t="shared" si="24"/>
        <v>5250.0000290400003</v>
      </c>
      <c r="L61" s="149">
        <f>C61*D61*12</f>
        <v>336000.00185856002</v>
      </c>
      <c r="M61" s="23"/>
      <c r="N61" s="107"/>
    </row>
    <row r="62" spans="1:14" ht="27.7" customHeight="1" x14ac:dyDescent="0.25">
      <c r="A62" s="64" t="s">
        <v>642</v>
      </c>
      <c r="B62" s="67" t="s">
        <v>616</v>
      </c>
      <c r="C62" s="111">
        <v>0.42</v>
      </c>
      <c r="D62" s="149">
        <f t="shared" si="21"/>
        <v>27999.99943104</v>
      </c>
      <c r="E62" s="149">
        <v>4524</v>
      </c>
      <c r="F62" s="149">
        <f t="shared" si="22"/>
        <v>904.80000000000007</v>
      </c>
      <c r="G62" s="159">
        <f>E62*2.6682581</f>
        <v>12071.1996444</v>
      </c>
      <c r="H62" s="150">
        <v>30</v>
      </c>
      <c r="I62" s="149">
        <f t="shared" si="23"/>
        <v>5249.9998933200004</v>
      </c>
      <c r="J62" s="150">
        <v>30</v>
      </c>
      <c r="K62" s="149">
        <f t="shared" si="24"/>
        <v>5249.9998933200004</v>
      </c>
      <c r="L62" s="149">
        <f t="shared" ref="L62:L63" si="25">C62*D62*12</f>
        <v>141119.99713244158</v>
      </c>
      <c r="M62" s="23"/>
      <c r="N62" s="107"/>
    </row>
    <row r="63" spans="1:14" ht="26.3" customHeight="1" x14ac:dyDescent="0.25">
      <c r="A63" s="64" t="s">
        <v>643</v>
      </c>
      <c r="B63" s="67" t="s">
        <v>617</v>
      </c>
      <c r="C63" s="111">
        <v>3</v>
      </c>
      <c r="D63" s="149">
        <f t="shared" si="21"/>
        <v>27999.999902768002</v>
      </c>
      <c r="E63" s="149">
        <v>3511</v>
      </c>
      <c r="F63" s="149">
        <f t="shared" si="22"/>
        <v>702.2</v>
      </c>
      <c r="G63" s="159">
        <f>E63*3.78433493</f>
        <v>13286.799939230001</v>
      </c>
      <c r="H63" s="150">
        <v>30</v>
      </c>
      <c r="I63" s="149">
        <f t="shared" si="23"/>
        <v>5249.9999817690004</v>
      </c>
      <c r="J63" s="150">
        <v>30</v>
      </c>
      <c r="K63" s="149">
        <f t="shared" si="24"/>
        <v>5249.9999817690004</v>
      </c>
      <c r="L63" s="149">
        <f t="shared" si="25"/>
        <v>1007999.9964996481</v>
      </c>
      <c r="M63" s="23"/>
      <c r="N63" s="107"/>
    </row>
    <row r="64" spans="1:14" ht="27.1" customHeight="1" x14ac:dyDescent="0.25">
      <c r="A64" s="64" t="s">
        <v>644</v>
      </c>
      <c r="B64" s="67" t="s">
        <v>618</v>
      </c>
      <c r="C64" s="111">
        <v>0.83</v>
      </c>
      <c r="D64" s="149">
        <f t="shared" ref="D64" si="26">E64+F64+G64+I64+K64</f>
        <v>28000.041119679998</v>
      </c>
      <c r="E64" s="149">
        <v>5267</v>
      </c>
      <c r="F64" s="149">
        <f t="shared" ref="F64" si="27">E64*0.2</f>
        <v>1053.4000000000001</v>
      </c>
      <c r="G64" s="159">
        <f>E64*2.1225794</f>
        <v>11179.625699799999</v>
      </c>
      <c r="H64" s="150">
        <v>30</v>
      </c>
      <c r="I64" s="149">
        <f t="shared" ref="I64" si="28">(E64+F64+G64)*H64/100</f>
        <v>5250.0077099399987</v>
      </c>
      <c r="J64" s="150">
        <v>30</v>
      </c>
      <c r="K64" s="149">
        <f t="shared" ref="K64" si="29">(E64+F64+G64)*J64/100</f>
        <v>5250.0077099399987</v>
      </c>
      <c r="L64" s="149">
        <f t="shared" ref="L64" si="30">C64*D64*12</f>
        <v>278880.40955201274</v>
      </c>
      <c r="M64" s="23"/>
      <c r="N64" s="107"/>
    </row>
    <row r="65" spans="1:14" ht="17.25" customHeight="1" x14ac:dyDescent="0.25">
      <c r="A65" s="47" t="s">
        <v>121</v>
      </c>
      <c r="B65" s="47">
        <v>2110</v>
      </c>
      <c r="C65" s="10">
        <f>SUM(C25:C64)</f>
        <v>56.75</v>
      </c>
      <c r="D65" s="49" t="s">
        <v>1</v>
      </c>
      <c r="E65" s="49" t="s">
        <v>1</v>
      </c>
      <c r="F65" s="49" t="s">
        <v>1</v>
      </c>
      <c r="G65" s="49" t="s">
        <v>1</v>
      </c>
      <c r="H65" s="49" t="s">
        <v>1</v>
      </c>
      <c r="I65" s="49" t="s">
        <v>1</v>
      </c>
      <c r="J65" s="49" t="s">
        <v>1</v>
      </c>
      <c r="K65" s="49" t="s">
        <v>1</v>
      </c>
      <c r="L65" s="155">
        <f>SUM(L25:L64)</f>
        <v>6780775.0002426635</v>
      </c>
      <c r="M65" s="122"/>
      <c r="N65" s="123"/>
    </row>
    <row r="66" spans="1:14" ht="13.15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84"/>
      <c r="N66" s="285"/>
    </row>
    <row r="67" spans="1:14" ht="13.15" x14ac:dyDescent="0.2">
      <c r="A67" s="272" t="s">
        <v>646</v>
      </c>
      <c r="B67" s="272"/>
      <c r="C67" s="272"/>
      <c r="D67" s="272"/>
      <c r="E67" s="272"/>
      <c r="F67" s="272"/>
      <c r="G67" s="272"/>
      <c r="H67" s="272"/>
      <c r="I67" s="272"/>
      <c r="J67" s="272"/>
      <c r="K67" s="272"/>
      <c r="L67" s="272"/>
      <c r="M67" s="272"/>
      <c r="N67" s="272"/>
    </row>
    <row r="68" spans="1:14" ht="13.15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107"/>
      <c r="N68" s="23"/>
    </row>
    <row r="69" spans="1:14" ht="13.15" x14ac:dyDescent="0.25">
      <c r="A69" s="245" t="s">
        <v>160</v>
      </c>
      <c r="B69" s="245" t="s">
        <v>11</v>
      </c>
      <c r="C69" s="245" t="s">
        <v>161</v>
      </c>
      <c r="D69" s="247" t="s">
        <v>162</v>
      </c>
      <c r="E69" s="247"/>
      <c r="F69" s="247"/>
      <c r="G69" s="247"/>
      <c r="H69" s="247"/>
      <c r="I69" s="247"/>
      <c r="J69" s="247"/>
      <c r="K69" s="247"/>
      <c r="L69" s="248" t="s">
        <v>163</v>
      </c>
      <c r="M69" s="23"/>
      <c r="N69" s="23"/>
    </row>
    <row r="70" spans="1:14" ht="13.15" x14ac:dyDescent="0.25">
      <c r="A70" s="245"/>
      <c r="B70" s="245"/>
      <c r="C70" s="245"/>
      <c r="D70" s="248" t="s">
        <v>379</v>
      </c>
      <c r="E70" s="247" t="s">
        <v>57</v>
      </c>
      <c r="F70" s="247"/>
      <c r="G70" s="247"/>
      <c r="H70" s="247"/>
      <c r="I70" s="247"/>
      <c r="J70" s="247"/>
      <c r="K70" s="247"/>
      <c r="L70" s="248"/>
      <c r="M70" s="23"/>
      <c r="N70" s="23"/>
    </row>
    <row r="71" spans="1:14" ht="13.15" x14ac:dyDescent="0.25">
      <c r="A71" s="245"/>
      <c r="B71" s="245"/>
      <c r="C71" s="245"/>
      <c r="D71" s="248"/>
      <c r="E71" s="248" t="s">
        <v>164</v>
      </c>
      <c r="F71" s="248" t="s">
        <v>165</v>
      </c>
      <c r="G71" s="248" t="s">
        <v>166</v>
      </c>
      <c r="H71" s="245" t="s">
        <v>167</v>
      </c>
      <c r="I71" s="245"/>
      <c r="J71" s="245" t="s">
        <v>168</v>
      </c>
      <c r="K71" s="245"/>
      <c r="L71" s="248"/>
      <c r="M71" s="23"/>
      <c r="N71" s="23"/>
    </row>
    <row r="72" spans="1:14" ht="52.6" x14ac:dyDescent="0.25">
      <c r="A72" s="245"/>
      <c r="B72" s="245"/>
      <c r="C72" s="245"/>
      <c r="D72" s="248"/>
      <c r="E72" s="248"/>
      <c r="F72" s="248"/>
      <c r="G72" s="248"/>
      <c r="H72" s="163" t="s">
        <v>169</v>
      </c>
      <c r="I72" s="161" t="s">
        <v>170</v>
      </c>
      <c r="J72" s="163" t="s">
        <v>169</v>
      </c>
      <c r="K72" s="161" t="s">
        <v>171</v>
      </c>
      <c r="L72" s="248"/>
      <c r="M72" s="23"/>
      <c r="N72" s="23"/>
    </row>
    <row r="73" spans="1:14" ht="13.15" x14ac:dyDescent="0.25">
      <c r="A73" s="162" t="s">
        <v>19</v>
      </c>
      <c r="B73" s="162" t="s">
        <v>20</v>
      </c>
      <c r="C73" s="162" t="s">
        <v>21</v>
      </c>
      <c r="D73" s="162" t="s">
        <v>22</v>
      </c>
      <c r="E73" s="162" t="s">
        <v>23</v>
      </c>
      <c r="F73" s="162" t="s">
        <v>24</v>
      </c>
      <c r="G73" s="162" t="s">
        <v>25</v>
      </c>
      <c r="H73" s="162" t="s">
        <v>26</v>
      </c>
      <c r="I73" s="162" t="s">
        <v>27</v>
      </c>
      <c r="J73" s="162" t="s">
        <v>28</v>
      </c>
      <c r="K73" s="162" t="s">
        <v>29</v>
      </c>
      <c r="L73" s="162" t="s">
        <v>172</v>
      </c>
      <c r="M73" s="23"/>
      <c r="N73" s="23"/>
    </row>
    <row r="74" spans="1:14" ht="26.3" x14ac:dyDescent="0.25">
      <c r="A74" s="63" t="s">
        <v>607</v>
      </c>
      <c r="B74" s="67" t="s">
        <v>31</v>
      </c>
      <c r="C74" s="111">
        <v>1</v>
      </c>
      <c r="D74" s="159">
        <f>E74+F74+G74+I74+K74</f>
        <v>29107.699200000006</v>
      </c>
      <c r="E74" s="159">
        <v>15160.26</v>
      </c>
      <c r="F74" s="159">
        <f>E74*0.2</f>
        <v>3032.0520000000001</v>
      </c>
      <c r="G74" s="159"/>
      <c r="H74" s="162">
        <v>30</v>
      </c>
      <c r="I74" s="159">
        <f>(E74+F74+G74)*H74/100</f>
        <v>5457.6936000000014</v>
      </c>
      <c r="J74" s="162">
        <v>30</v>
      </c>
      <c r="K74" s="159">
        <f>(E74+F74+G74)*J74/100</f>
        <v>5457.6936000000014</v>
      </c>
      <c r="L74" s="159">
        <f>C74*D74*6+3128.8</f>
        <v>177774.99520000003</v>
      </c>
      <c r="M74" s="23"/>
      <c r="N74" s="23"/>
    </row>
    <row r="75" spans="1:14" ht="13.15" x14ac:dyDescent="0.25">
      <c r="A75" s="63" t="s">
        <v>608</v>
      </c>
      <c r="B75" s="67" t="s">
        <v>33</v>
      </c>
      <c r="C75" s="111">
        <v>1</v>
      </c>
      <c r="D75" s="159">
        <f t="shared" ref="D75:D95" si="31">E75+F75+G75+I75+K75</f>
        <v>17328</v>
      </c>
      <c r="E75" s="159">
        <v>9025</v>
      </c>
      <c r="F75" s="159">
        <f t="shared" ref="F75:F95" si="32">E75*0.2</f>
        <v>1805</v>
      </c>
      <c r="G75" s="159"/>
      <c r="H75" s="162">
        <v>30</v>
      </c>
      <c r="I75" s="159">
        <f t="shared" ref="I75:I95" si="33">(E75+F75+G75)*H75/100</f>
        <v>3249</v>
      </c>
      <c r="J75" s="162">
        <v>30</v>
      </c>
      <c r="K75" s="159">
        <f t="shared" ref="K75:K95" si="34">(E75+F75+G75)*J75/100</f>
        <v>3249</v>
      </c>
      <c r="L75" s="159">
        <f>C75*D75*10-5280</f>
        <v>168000</v>
      </c>
      <c r="M75" s="23"/>
      <c r="N75" s="23"/>
    </row>
    <row r="76" spans="1:14" ht="13.15" x14ac:dyDescent="0.25">
      <c r="A76" s="63" t="s">
        <v>636</v>
      </c>
      <c r="B76" s="67" t="s">
        <v>380</v>
      </c>
      <c r="C76" s="111">
        <v>1</v>
      </c>
      <c r="D76" s="159">
        <f t="shared" si="31"/>
        <v>25100.16</v>
      </c>
      <c r="E76" s="159">
        <v>13073</v>
      </c>
      <c r="F76" s="159">
        <f t="shared" si="32"/>
        <v>2614.6000000000004</v>
      </c>
      <c r="G76" s="159"/>
      <c r="H76" s="162">
        <v>30</v>
      </c>
      <c r="I76" s="159">
        <f t="shared" si="33"/>
        <v>4706.28</v>
      </c>
      <c r="J76" s="162">
        <v>30</v>
      </c>
      <c r="K76" s="159">
        <f t="shared" si="34"/>
        <v>4706.28</v>
      </c>
      <c r="L76" s="159">
        <f>C76*D76*7-7701.12</f>
        <v>168000</v>
      </c>
      <c r="M76" s="23"/>
      <c r="N76" s="23"/>
    </row>
    <row r="77" spans="1:14" ht="26.3" x14ac:dyDescent="0.25">
      <c r="A77" s="64" t="s">
        <v>637</v>
      </c>
      <c r="B77" s="67" t="s">
        <v>428</v>
      </c>
      <c r="C77" s="111">
        <v>0.5</v>
      </c>
      <c r="D77" s="159">
        <f t="shared" si="31"/>
        <v>19224.96</v>
      </c>
      <c r="E77" s="159">
        <v>10013</v>
      </c>
      <c r="F77" s="159">
        <f t="shared" si="32"/>
        <v>2002.6000000000001</v>
      </c>
      <c r="G77" s="159"/>
      <c r="H77" s="162">
        <v>30</v>
      </c>
      <c r="I77" s="159">
        <f t="shared" si="33"/>
        <v>3604.68</v>
      </c>
      <c r="J77" s="162">
        <v>30</v>
      </c>
      <c r="K77" s="159">
        <f t="shared" si="34"/>
        <v>3604.68</v>
      </c>
      <c r="L77" s="159">
        <f>C77*D77*9-2512.32</f>
        <v>83999.999999999985</v>
      </c>
      <c r="M77" s="23"/>
      <c r="N77" s="23"/>
    </row>
    <row r="78" spans="1:14" ht="15.05" customHeight="1" x14ac:dyDescent="0.25">
      <c r="A78" s="64" t="s">
        <v>410</v>
      </c>
      <c r="B78" s="67" t="s">
        <v>427</v>
      </c>
      <c r="C78" s="111">
        <v>1</v>
      </c>
      <c r="D78" s="159">
        <f t="shared" si="31"/>
        <v>14261.76</v>
      </c>
      <c r="E78" s="159">
        <v>7428</v>
      </c>
      <c r="F78" s="159">
        <f t="shared" si="32"/>
        <v>1485.6000000000001</v>
      </c>
      <c r="G78" s="159"/>
      <c r="H78" s="162">
        <v>30</v>
      </c>
      <c r="I78" s="159">
        <f t="shared" si="33"/>
        <v>2674.08</v>
      </c>
      <c r="J78" s="162">
        <v>30</v>
      </c>
      <c r="K78" s="159">
        <f t="shared" si="34"/>
        <v>2674.08</v>
      </c>
      <c r="L78" s="159">
        <f>C78*D78*12-3141.12</f>
        <v>168000</v>
      </c>
      <c r="M78" s="23"/>
      <c r="N78" s="23"/>
    </row>
    <row r="79" spans="1:14" ht="15.05" customHeight="1" x14ac:dyDescent="0.25">
      <c r="A79" s="63" t="s">
        <v>409</v>
      </c>
      <c r="B79" s="67" t="s">
        <v>429</v>
      </c>
      <c r="C79" s="111">
        <v>0.5</v>
      </c>
      <c r="D79" s="159">
        <f t="shared" si="31"/>
        <v>14261.76</v>
      </c>
      <c r="E79" s="159">
        <v>7428</v>
      </c>
      <c r="F79" s="159">
        <f t="shared" si="32"/>
        <v>1485.6000000000001</v>
      </c>
      <c r="G79" s="159"/>
      <c r="H79" s="162">
        <v>30</v>
      </c>
      <c r="I79" s="159">
        <f t="shared" si="33"/>
        <v>2674.08</v>
      </c>
      <c r="J79" s="162">
        <v>30</v>
      </c>
      <c r="K79" s="159">
        <f t="shared" si="34"/>
        <v>2674.08</v>
      </c>
      <c r="L79" s="159">
        <f>C79*D79*12-1570.56</f>
        <v>84000</v>
      </c>
      <c r="M79" s="23"/>
      <c r="N79" s="23"/>
    </row>
    <row r="80" spans="1:14" ht="13.15" x14ac:dyDescent="0.25">
      <c r="A80" s="63" t="s">
        <v>401</v>
      </c>
      <c r="B80" s="67" t="s">
        <v>430</v>
      </c>
      <c r="C80" s="111">
        <v>1.5</v>
      </c>
      <c r="D80" s="159">
        <f t="shared" si="31"/>
        <v>25100.16</v>
      </c>
      <c r="E80" s="159">
        <v>13073</v>
      </c>
      <c r="F80" s="159">
        <f t="shared" si="32"/>
        <v>2614.6000000000004</v>
      </c>
      <c r="G80" s="159"/>
      <c r="H80" s="162">
        <v>30</v>
      </c>
      <c r="I80" s="159">
        <f t="shared" si="33"/>
        <v>4706.28</v>
      </c>
      <c r="J80" s="162">
        <v>30</v>
      </c>
      <c r="K80" s="159">
        <f t="shared" si="34"/>
        <v>4706.28</v>
      </c>
      <c r="L80" s="159">
        <f>C80*D80*7-11551.68</f>
        <v>252000</v>
      </c>
      <c r="M80" s="23"/>
      <c r="N80" s="23"/>
    </row>
    <row r="81" spans="1:14" ht="26.3" customHeight="1" x14ac:dyDescent="0.25">
      <c r="A81" s="63" t="s">
        <v>422</v>
      </c>
      <c r="B81" s="67" t="s">
        <v>431</v>
      </c>
      <c r="C81" s="111">
        <v>0.75</v>
      </c>
      <c r="D81" s="159">
        <f t="shared" si="31"/>
        <v>25100.16</v>
      </c>
      <c r="E81" s="159">
        <v>13073</v>
      </c>
      <c r="F81" s="159">
        <f t="shared" si="32"/>
        <v>2614.6000000000004</v>
      </c>
      <c r="G81" s="159"/>
      <c r="H81" s="162">
        <v>30</v>
      </c>
      <c r="I81" s="159">
        <f t="shared" si="33"/>
        <v>4706.28</v>
      </c>
      <c r="J81" s="162">
        <v>30</v>
      </c>
      <c r="K81" s="159">
        <f t="shared" si="34"/>
        <v>4706.28</v>
      </c>
      <c r="L81" s="159">
        <f>C81*D81*7-5775.84</f>
        <v>126000</v>
      </c>
      <c r="M81" s="23"/>
      <c r="N81" s="23"/>
    </row>
    <row r="82" spans="1:14" ht="13.15" x14ac:dyDescent="0.25">
      <c r="A82" s="63" t="s">
        <v>402</v>
      </c>
      <c r="B82" s="67" t="s">
        <v>432</v>
      </c>
      <c r="C82" s="111">
        <v>1</v>
      </c>
      <c r="D82" s="159">
        <f t="shared" si="31"/>
        <v>25100.16</v>
      </c>
      <c r="E82" s="159">
        <v>13073</v>
      </c>
      <c r="F82" s="159">
        <f t="shared" si="32"/>
        <v>2614.6000000000004</v>
      </c>
      <c r="G82" s="159"/>
      <c r="H82" s="162">
        <v>30</v>
      </c>
      <c r="I82" s="159">
        <f t="shared" si="33"/>
        <v>4706.28</v>
      </c>
      <c r="J82" s="162">
        <v>30</v>
      </c>
      <c r="K82" s="159">
        <f t="shared" si="34"/>
        <v>4706.28</v>
      </c>
      <c r="L82" s="159">
        <f>C82*D82*7-7701.12</f>
        <v>168000</v>
      </c>
      <c r="M82" s="23"/>
      <c r="N82" s="23"/>
    </row>
    <row r="83" spans="1:14" ht="26.3" x14ac:dyDescent="0.25">
      <c r="A83" s="63" t="s">
        <v>400</v>
      </c>
      <c r="B83" s="67" t="s">
        <v>433</v>
      </c>
      <c r="C83" s="111">
        <v>0.75</v>
      </c>
      <c r="D83" s="159">
        <f t="shared" si="31"/>
        <v>25100.16</v>
      </c>
      <c r="E83" s="159">
        <v>13073</v>
      </c>
      <c r="F83" s="159">
        <f t="shared" si="32"/>
        <v>2614.6000000000004</v>
      </c>
      <c r="G83" s="159"/>
      <c r="H83" s="162">
        <v>30</v>
      </c>
      <c r="I83" s="159">
        <f t="shared" si="33"/>
        <v>4706.28</v>
      </c>
      <c r="J83" s="162">
        <v>30</v>
      </c>
      <c r="K83" s="159">
        <f t="shared" si="34"/>
        <v>4706.28</v>
      </c>
      <c r="L83" s="159">
        <f>C83*D83*7-5775.84</f>
        <v>126000</v>
      </c>
      <c r="M83" s="23"/>
      <c r="N83" s="23"/>
    </row>
    <row r="84" spans="1:14" ht="13.15" x14ac:dyDescent="0.25">
      <c r="A84" s="63" t="s">
        <v>403</v>
      </c>
      <c r="B84" s="67" t="s">
        <v>434</v>
      </c>
      <c r="C84" s="111">
        <v>1</v>
      </c>
      <c r="D84" s="159">
        <f t="shared" si="31"/>
        <v>25100.16</v>
      </c>
      <c r="E84" s="159">
        <v>13073</v>
      </c>
      <c r="F84" s="159">
        <f t="shared" si="32"/>
        <v>2614.6000000000004</v>
      </c>
      <c r="G84" s="159"/>
      <c r="H84" s="162">
        <v>30</v>
      </c>
      <c r="I84" s="159">
        <f t="shared" si="33"/>
        <v>4706.28</v>
      </c>
      <c r="J84" s="162">
        <v>30</v>
      </c>
      <c r="K84" s="159">
        <f t="shared" si="34"/>
        <v>4706.28</v>
      </c>
      <c r="L84" s="159">
        <f>C84*D84*6-6600.96</f>
        <v>144000</v>
      </c>
      <c r="M84" s="23"/>
      <c r="N84" s="23"/>
    </row>
    <row r="85" spans="1:14" ht="13.15" x14ac:dyDescent="0.25">
      <c r="A85" s="63" t="s">
        <v>399</v>
      </c>
      <c r="B85" s="67" t="s">
        <v>435</v>
      </c>
      <c r="C85" s="111">
        <v>1</v>
      </c>
      <c r="D85" s="159">
        <f t="shared" si="31"/>
        <v>25100.16</v>
      </c>
      <c r="E85" s="159">
        <v>13073</v>
      </c>
      <c r="F85" s="159">
        <f t="shared" si="32"/>
        <v>2614.6000000000004</v>
      </c>
      <c r="G85" s="159"/>
      <c r="H85" s="162">
        <v>30</v>
      </c>
      <c r="I85" s="159">
        <f t="shared" si="33"/>
        <v>4706.28</v>
      </c>
      <c r="J85" s="162">
        <v>30</v>
      </c>
      <c r="K85" s="159">
        <f t="shared" si="34"/>
        <v>4706.28</v>
      </c>
      <c r="L85" s="159">
        <f>C85*D85*6-6600.96</f>
        <v>144000</v>
      </c>
      <c r="M85" s="23"/>
      <c r="N85" s="23"/>
    </row>
    <row r="86" spans="1:14" ht="26.3" x14ac:dyDescent="0.25">
      <c r="A86" s="64" t="s">
        <v>419</v>
      </c>
      <c r="B86" s="67" t="s">
        <v>436</v>
      </c>
      <c r="C86" s="111">
        <v>0.25</v>
      </c>
      <c r="D86" s="159">
        <f t="shared" si="31"/>
        <v>9914.880000000001</v>
      </c>
      <c r="E86" s="159">
        <v>5164</v>
      </c>
      <c r="F86" s="159">
        <f t="shared" si="32"/>
        <v>1032.8</v>
      </c>
      <c r="G86" s="159"/>
      <c r="H86" s="162">
        <v>30</v>
      </c>
      <c r="I86" s="159">
        <f t="shared" si="33"/>
        <v>1859.04</v>
      </c>
      <c r="J86" s="162">
        <v>30</v>
      </c>
      <c r="K86" s="159">
        <f t="shared" si="34"/>
        <v>1859.04</v>
      </c>
      <c r="L86" s="159">
        <f>C86*D86*12-5744.64</f>
        <v>24000.000000000004</v>
      </c>
      <c r="M86" s="23"/>
      <c r="N86" s="23"/>
    </row>
    <row r="87" spans="1:14" ht="15.85" customHeight="1" x14ac:dyDescent="0.25">
      <c r="A87" s="64" t="s">
        <v>414</v>
      </c>
      <c r="B87" s="67" t="s">
        <v>437</v>
      </c>
      <c r="C87" s="111">
        <v>1</v>
      </c>
      <c r="D87" s="159">
        <f t="shared" si="31"/>
        <v>8221.44</v>
      </c>
      <c r="E87" s="159">
        <v>4282</v>
      </c>
      <c r="F87" s="159">
        <f t="shared" si="32"/>
        <v>856.40000000000009</v>
      </c>
      <c r="G87" s="159"/>
      <c r="H87" s="162">
        <v>30</v>
      </c>
      <c r="I87" s="159">
        <f t="shared" si="33"/>
        <v>1541.52</v>
      </c>
      <c r="J87" s="162">
        <v>30</v>
      </c>
      <c r="K87" s="159">
        <f t="shared" si="34"/>
        <v>1541.52</v>
      </c>
      <c r="L87" s="159">
        <f>C87*D87*12+7842.72</f>
        <v>106500</v>
      </c>
      <c r="M87" s="23"/>
      <c r="N87" s="23"/>
    </row>
    <row r="88" spans="1:14" ht="15.85" customHeight="1" x14ac:dyDescent="0.25">
      <c r="A88" s="64" t="s">
        <v>420</v>
      </c>
      <c r="B88" s="67" t="s">
        <v>438</v>
      </c>
      <c r="C88" s="111">
        <v>1</v>
      </c>
      <c r="D88" s="159">
        <f t="shared" si="31"/>
        <v>8221.44</v>
      </c>
      <c r="E88" s="159">
        <v>4282</v>
      </c>
      <c r="F88" s="159">
        <f t="shared" si="32"/>
        <v>856.40000000000009</v>
      </c>
      <c r="G88" s="159"/>
      <c r="H88" s="162">
        <v>30</v>
      </c>
      <c r="I88" s="159">
        <f t="shared" si="33"/>
        <v>1541.52</v>
      </c>
      <c r="J88" s="162">
        <v>30</v>
      </c>
      <c r="K88" s="159">
        <f t="shared" si="34"/>
        <v>1541.52</v>
      </c>
      <c r="L88" s="159">
        <f>C88*D88*12+7842.72</f>
        <v>106500</v>
      </c>
      <c r="M88" s="23"/>
      <c r="N88" s="23"/>
    </row>
    <row r="89" spans="1:14" ht="13.15" x14ac:dyDescent="0.25">
      <c r="A89" s="64" t="s">
        <v>610</v>
      </c>
      <c r="B89" s="67" t="s">
        <v>439</v>
      </c>
      <c r="C89" s="111">
        <v>0.75</v>
      </c>
      <c r="D89" s="159">
        <f t="shared" si="31"/>
        <v>16323.839999999998</v>
      </c>
      <c r="E89" s="159">
        <v>8502</v>
      </c>
      <c r="F89" s="159">
        <f t="shared" si="32"/>
        <v>1700.4</v>
      </c>
      <c r="G89" s="159"/>
      <c r="H89" s="162">
        <v>30</v>
      </c>
      <c r="I89" s="159">
        <f t="shared" si="33"/>
        <v>3060.72</v>
      </c>
      <c r="J89" s="162">
        <v>30</v>
      </c>
      <c r="K89" s="159">
        <f t="shared" si="34"/>
        <v>3060.72</v>
      </c>
      <c r="L89" s="159">
        <f>C89*D89*6-1457.28</f>
        <v>72000</v>
      </c>
      <c r="M89" s="23"/>
      <c r="N89" s="23"/>
    </row>
    <row r="90" spans="1:14" ht="13.15" x14ac:dyDescent="0.25">
      <c r="A90" s="64" t="s">
        <v>417</v>
      </c>
      <c r="B90" s="67" t="s">
        <v>440</v>
      </c>
      <c r="C90" s="111">
        <v>0.75</v>
      </c>
      <c r="D90" s="159">
        <f t="shared" si="31"/>
        <v>16323.839999999998</v>
      </c>
      <c r="E90" s="159">
        <v>8502</v>
      </c>
      <c r="F90" s="159">
        <f t="shared" si="32"/>
        <v>1700.4</v>
      </c>
      <c r="G90" s="159"/>
      <c r="H90" s="162">
        <v>30</v>
      </c>
      <c r="I90" s="159">
        <f t="shared" si="33"/>
        <v>3060.72</v>
      </c>
      <c r="J90" s="162">
        <v>30</v>
      </c>
      <c r="K90" s="159">
        <f t="shared" si="34"/>
        <v>3060.72</v>
      </c>
      <c r="L90" s="159">
        <f>C90*D90*6-1457.28</f>
        <v>72000</v>
      </c>
      <c r="M90" s="23"/>
      <c r="N90" s="23"/>
    </row>
    <row r="91" spans="1:14" ht="14.25" customHeight="1" x14ac:dyDescent="0.25">
      <c r="A91" s="64" t="s">
        <v>592</v>
      </c>
      <c r="B91" s="67" t="s">
        <v>441</v>
      </c>
      <c r="C91" s="111">
        <v>0.5</v>
      </c>
      <c r="D91" s="159">
        <f t="shared" si="31"/>
        <v>7480.32</v>
      </c>
      <c r="E91" s="159">
        <v>3896</v>
      </c>
      <c r="F91" s="159">
        <f t="shared" si="32"/>
        <v>779.2</v>
      </c>
      <c r="G91" s="159"/>
      <c r="H91" s="162">
        <v>30</v>
      </c>
      <c r="I91" s="159">
        <f t="shared" si="33"/>
        <v>1402.56</v>
      </c>
      <c r="J91" s="162">
        <v>30</v>
      </c>
      <c r="K91" s="159">
        <f t="shared" si="34"/>
        <v>1402.56</v>
      </c>
      <c r="L91" s="159">
        <f>C91*D91*12+3118.08</f>
        <v>48000</v>
      </c>
      <c r="M91" s="23"/>
      <c r="N91" s="23"/>
    </row>
    <row r="92" spans="1:14" ht="13.5" customHeight="1" x14ac:dyDescent="0.25">
      <c r="A92" s="63" t="s">
        <v>408</v>
      </c>
      <c r="B92" s="67" t="s">
        <v>425</v>
      </c>
      <c r="C92" s="111">
        <v>0.75</v>
      </c>
      <c r="D92" s="159">
        <f t="shared" si="31"/>
        <v>19224.96</v>
      </c>
      <c r="E92" s="159">
        <v>10013</v>
      </c>
      <c r="F92" s="159">
        <f t="shared" si="32"/>
        <v>2002.6000000000001</v>
      </c>
      <c r="G92" s="159"/>
      <c r="H92" s="162">
        <v>30</v>
      </c>
      <c r="I92" s="159">
        <f t="shared" si="33"/>
        <v>3604.68</v>
      </c>
      <c r="J92" s="162">
        <v>30</v>
      </c>
      <c r="K92" s="159">
        <f t="shared" si="34"/>
        <v>3604.68</v>
      </c>
      <c r="L92" s="159">
        <f>C92*D92*5-93.6</f>
        <v>71999.999999999985</v>
      </c>
      <c r="M92" s="23"/>
      <c r="N92" s="23"/>
    </row>
    <row r="93" spans="1:14" ht="14.25" customHeight="1" x14ac:dyDescent="0.25">
      <c r="A93" s="64" t="s">
        <v>418</v>
      </c>
      <c r="B93" s="67" t="s">
        <v>442</v>
      </c>
      <c r="C93" s="111">
        <v>0.5</v>
      </c>
      <c r="D93" s="159">
        <f t="shared" si="31"/>
        <v>19224.96</v>
      </c>
      <c r="E93" s="159">
        <v>10013</v>
      </c>
      <c r="F93" s="159">
        <f t="shared" si="32"/>
        <v>2002.6000000000001</v>
      </c>
      <c r="G93" s="159"/>
      <c r="H93" s="162">
        <v>30</v>
      </c>
      <c r="I93" s="159">
        <f t="shared" si="33"/>
        <v>3604.68</v>
      </c>
      <c r="J93" s="162">
        <v>30</v>
      </c>
      <c r="K93" s="159">
        <f t="shared" si="34"/>
        <v>3604.68</v>
      </c>
      <c r="L93" s="159">
        <f>C93*D93*5-62.4</f>
        <v>47999.999999999993</v>
      </c>
      <c r="M93" s="23"/>
      <c r="N93" s="23"/>
    </row>
    <row r="94" spans="1:14" ht="14.25" customHeight="1" x14ac:dyDescent="0.25">
      <c r="A94" s="63" t="s">
        <v>407</v>
      </c>
      <c r="B94" s="67" t="s">
        <v>443</v>
      </c>
      <c r="C94" s="111">
        <v>2.5</v>
      </c>
      <c r="D94" s="159">
        <f t="shared" si="31"/>
        <v>19224.96</v>
      </c>
      <c r="E94" s="159">
        <v>10013</v>
      </c>
      <c r="F94" s="159">
        <f t="shared" si="32"/>
        <v>2002.6000000000001</v>
      </c>
      <c r="G94" s="159"/>
      <c r="H94" s="162">
        <v>30</v>
      </c>
      <c r="I94" s="159">
        <f t="shared" si="33"/>
        <v>3604.68</v>
      </c>
      <c r="J94" s="162">
        <v>30</v>
      </c>
      <c r="K94" s="159">
        <f t="shared" si="34"/>
        <v>3604.68</v>
      </c>
      <c r="L94" s="159">
        <f>C94*D94*5-312</f>
        <v>239999.99999999997</v>
      </c>
      <c r="M94" s="23"/>
      <c r="N94" s="23"/>
    </row>
    <row r="95" spans="1:14" ht="15.05" customHeight="1" x14ac:dyDescent="0.25">
      <c r="A95" s="63" t="s">
        <v>638</v>
      </c>
      <c r="B95" s="67" t="s">
        <v>444</v>
      </c>
      <c r="C95" s="111">
        <v>0.5</v>
      </c>
      <c r="D95" s="159">
        <f t="shared" si="31"/>
        <v>9914.880000000001</v>
      </c>
      <c r="E95" s="159">
        <v>5164</v>
      </c>
      <c r="F95" s="159">
        <f t="shared" si="32"/>
        <v>1032.8</v>
      </c>
      <c r="G95" s="159"/>
      <c r="H95" s="162">
        <v>30</v>
      </c>
      <c r="I95" s="159">
        <f t="shared" si="33"/>
        <v>1859.04</v>
      </c>
      <c r="J95" s="162">
        <v>30</v>
      </c>
      <c r="K95" s="159">
        <f t="shared" si="34"/>
        <v>1859.04</v>
      </c>
      <c r="L95" s="159">
        <f>C95*D95*10-1574.4</f>
        <v>48000.000000000007</v>
      </c>
      <c r="M95" s="23"/>
      <c r="N95" s="23"/>
    </row>
    <row r="96" spans="1:14" ht="15.05" customHeight="1" x14ac:dyDescent="0.25">
      <c r="A96" s="63" t="s">
        <v>404</v>
      </c>
      <c r="B96" s="67" t="s">
        <v>426</v>
      </c>
      <c r="C96" s="111">
        <v>0.75</v>
      </c>
      <c r="D96" s="159">
        <f>E96+F96+G96+I96+K96</f>
        <v>19224.96</v>
      </c>
      <c r="E96" s="159">
        <v>10013</v>
      </c>
      <c r="F96" s="159">
        <f>E96*0.2</f>
        <v>2002.6000000000001</v>
      </c>
      <c r="G96" s="159"/>
      <c r="H96" s="162">
        <v>30</v>
      </c>
      <c r="I96" s="159">
        <f>(E96+F96+G96)*H96/100</f>
        <v>3604.68</v>
      </c>
      <c r="J96" s="162">
        <v>30</v>
      </c>
      <c r="K96" s="159">
        <f>(E96+F96+G96)*J96/100</f>
        <v>3604.68</v>
      </c>
      <c r="L96" s="159">
        <f>C96*D96*5-93.6</f>
        <v>71999.999999999985</v>
      </c>
      <c r="M96" s="23"/>
      <c r="N96" s="23"/>
    </row>
    <row r="97" spans="1:14" ht="15.05" customHeight="1" x14ac:dyDescent="0.25">
      <c r="A97" s="63" t="s">
        <v>405</v>
      </c>
      <c r="B97" s="67" t="s">
        <v>445</v>
      </c>
      <c r="C97" s="111">
        <v>0.25</v>
      </c>
      <c r="D97" s="159">
        <f t="shared" ref="D97:D98" si="35">E97+F97+G97+I97+K97</f>
        <v>19224.96</v>
      </c>
      <c r="E97" s="159">
        <v>10013</v>
      </c>
      <c r="F97" s="159">
        <f t="shared" ref="F97:F98" si="36">E97*0.2</f>
        <v>2002.6000000000001</v>
      </c>
      <c r="G97" s="159"/>
      <c r="H97" s="162">
        <v>30</v>
      </c>
      <c r="I97" s="159">
        <f t="shared" ref="I97:I98" si="37">(E97+F97+G97)*H97/100</f>
        <v>3604.68</v>
      </c>
      <c r="J97" s="162">
        <v>30</v>
      </c>
      <c r="K97" s="159">
        <f t="shared" ref="K97:K98" si="38">(E97+F97+G97)*J97/100</f>
        <v>3604.68</v>
      </c>
      <c r="L97" s="159">
        <f>C97*D97*5-31.2</f>
        <v>23999.999999999996</v>
      </c>
      <c r="M97" s="23"/>
      <c r="N97" s="23"/>
    </row>
    <row r="98" spans="1:14" ht="16.45" customHeight="1" x14ac:dyDescent="0.25">
      <c r="A98" s="63" t="s">
        <v>406</v>
      </c>
      <c r="B98" s="67" t="s">
        <v>446</v>
      </c>
      <c r="C98" s="111">
        <v>1</v>
      </c>
      <c r="D98" s="159">
        <f t="shared" si="35"/>
        <v>19224.96</v>
      </c>
      <c r="E98" s="159">
        <v>10013</v>
      </c>
      <c r="F98" s="159">
        <f t="shared" si="36"/>
        <v>2002.6000000000001</v>
      </c>
      <c r="G98" s="159"/>
      <c r="H98" s="162">
        <v>30</v>
      </c>
      <c r="I98" s="159">
        <f t="shared" si="37"/>
        <v>3604.68</v>
      </c>
      <c r="J98" s="162">
        <v>30</v>
      </c>
      <c r="K98" s="159">
        <f t="shared" si="38"/>
        <v>3604.68</v>
      </c>
      <c r="L98" s="159">
        <f>C98*D98*5-124.8</f>
        <v>95999.999999999985</v>
      </c>
      <c r="M98" s="23"/>
      <c r="N98" s="23"/>
    </row>
    <row r="99" spans="1:14" ht="14.25" customHeight="1" x14ac:dyDescent="0.25">
      <c r="A99" s="64" t="s">
        <v>421</v>
      </c>
      <c r="B99" s="67" t="s">
        <v>447</v>
      </c>
      <c r="C99" s="111">
        <v>1</v>
      </c>
      <c r="D99" s="159">
        <f>E99+F99+G99+I99+K99</f>
        <v>6741.12</v>
      </c>
      <c r="E99" s="159">
        <v>3511</v>
      </c>
      <c r="F99" s="159">
        <f>E99*0.2</f>
        <v>702.2</v>
      </c>
      <c r="G99" s="159"/>
      <c r="H99" s="162">
        <v>30</v>
      </c>
      <c r="I99" s="159">
        <f>(E99+F99+G99)*H99/100</f>
        <v>1263.96</v>
      </c>
      <c r="J99" s="162">
        <v>30</v>
      </c>
      <c r="K99" s="159">
        <f>(E99+F99+G99)*J99/100</f>
        <v>1263.96</v>
      </c>
      <c r="L99" s="159">
        <f>C99*D99*12+3106.56</f>
        <v>84000</v>
      </c>
      <c r="M99" s="23"/>
      <c r="N99" s="23"/>
    </row>
    <row r="100" spans="1:14" ht="13.5" customHeight="1" x14ac:dyDescent="0.25">
      <c r="A100" s="64" t="s">
        <v>413</v>
      </c>
      <c r="B100" s="67" t="s">
        <v>448</v>
      </c>
      <c r="C100" s="111">
        <v>2</v>
      </c>
      <c r="D100" s="159">
        <f>E100+F100+G100+I100+K100</f>
        <v>11399.039999999999</v>
      </c>
      <c r="E100" s="159">
        <v>5937</v>
      </c>
      <c r="F100" s="159">
        <f>E100*0.2</f>
        <v>1187.4000000000001</v>
      </c>
      <c r="G100" s="159"/>
      <c r="H100" s="162">
        <v>30</v>
      </c>
      <c r="I100" s="159">
        <f>(E100+F100+G100)*H100/100</f>
        <v>2137.3200000000002</v>
      </c>
      <c r="J100" s="162">
        <v>30</v>
      </c>
      <c r="K100" s="159">
        <f>(E100+F100+G100)*J100/100</f>
        <v>2137.3200000000002</v>
      </c>
      <c r="L100" s="159">
        <f>C100*D100*7+8413.44</f>
        <v>168000</v>
      </c>
      <c r="M100" s="23"/>
      <c r="N100" s="23"/>
    </row>
    <row r="101" spans="1:14" ht="16.45" customHeight="1" x14ac:dyDescent="0.25">
      <c r="A101" s="63" t="s">
        <v>423</v>
      </c>
      <c r="B101" s="67" t="s">
        <v>449</v>
      </c>
      <c r="C101" s="111">
        <v>5</v>
      </c>
      <c r="D101" s="159">
        <f t="shared" ref="D101:D103" si="39">E101+F101+G101+I101+K101</f>
        <v>10112.64</v>
      </c>
      <c r="E101" s="159">
        <v>5267</v>
      </c>
      <c r="F101" s="159">
        <f t="shared" ref="F101:F103" si="40">E101*0.2</f>
        <v>1053.4000000000001</v>
      </c>
      <c r="G101" s="159"/>
      <c r="H101" s="162">
        <v>30</v>
      </c>
      <c r="I101" s="159">
        <f t="shared" ref="I101:I103" si="41">(E101+F101+G101)*H101/100</f>
        <v>1896.12</v>
      </c>
      <c r="J101" s="162">
        <v>30</v>
      </c>
      <c r="K101" s="159">
        <f t="shared" ref="K101:K103" si="42">(E101+F101+G101)*J101/100</f>
        <v>1896.12</v>
      </c>
      <c r="L101" s="159">
        <f>C101*D101*8+15494</f>
        <v>419999.6</v>
      </c>
      <c r="M101" s="23"/>
      <c r="N101" s="23"/>
    </row>
    <row r="102" spans="1:14" ht="27.7" customHeight="1" x14ac:dyDescent="0.25">
      <c r="A102" s="63" t="s">
        <v>639</v>
      </c>
      <c r="B102" s="67" t="s">
        <v>450</v>
      </c>
      <c r="C102" s="111">
        <v>1.5</v>
      </c>
      <c r="D102" s="159">
        <f t="shared" si="39"/>
        <v>10112.64</v>
      </c>
      <c r="E102" s="159">
        <v>5267</v>
      </c>
      <c r="F102" s="159">
        <f t="shared" si="40"/>
        <v>1053.4000000000001</v>
      </c>
      <c r="G102" s="159"/>
      <c r="H102" s="162">
        <v>30</v>
      </c>
      <c r="I102" s="159">
        <f t="shared" si="41"/>
        <v>1896.12</v>
      </c>
      <c r="J102" s="162">
        <v>30</v>
      </c>
      <c r="K102" s="159">
        <f t="shared" si="42"/>
        <v>1896.12</v>
      </c>
      <c r="L102" s="159">
        <f>C102*D102*8+4648.32</f>
        <v>126000</v>
      </c>
      <c r="M102" s="122"/>
      <c r="N102" s="123"/>
    </row>
    <row r="103" spans="1:14" ht="25.55" customHeight="1" x14ac:dyDescent="0.25">
      <c r="A103" s="63" t="s">
        <v>640</v>
      </c>
      <c r="B103" s="67" t="s">
        <v>451</v>
      </c>
      <c r="C103" s="111">
        <v>0.5</v>
      </c>
      <c r="D103" s="159">
        <f t="shared" si="39"/>
        <v>9932.16</v>
      </c>
      <c r="E103" s="159">
        <v>5173</v>
      </c>
      <c r="F103" s="159">
        <f t="shared" si="40"/>
        <v>1034.6000000000001</v>
      </c>
      <c r="G103" s="159"/>
      <c r="H103" s="162">
        <v>30</v>
      </c>
      <c r="I103" s="159">
        <f t="shared" si="41"/>
        <v>1862.28</v>
      </c>
      <c r="J103" s="162">
        <v>30</v>
      </c>
      <c r="K103" s="159">
        <f t="shared" si="42"/>
        <v>1862.28</v>
      </c>
      <c r="L103" s="159">
        <f>C103*D103*8+2271.36</f>
        <v>42000</v>
      </c>
      <c r="M103" s="23"/>
      <c r="N103" s="23"/>
    </row>
    <row r="104" spans="1:14" ht="15.85" customHeight="1" x14ac:dyDescent="0.25">
      <c r="A104" s="63" t="s">
        <v>415</v>
      </c>
      <c r="B104" s="67" t="s">
        <v>452</v>
      </c>
      <c r="C104" s="111">
        <v>8</v>
      </c>
      <c r="D104" s="159">
        <f>E104+F104+G104+I104+K104</f>
        <v>8686.08</v>
      </c>
      <c r="E104" s="159">
        <v>4524</v>
      </c>
      <c r="F104" s="159">
        <f>E104*0.2</f>
        <v>904.80000000000007</v>
      </c>
      <c r="G104" s="159"/>
      <c r="H104" s="162">
        <v>30</v>
      </c>
      <c r="I104" s="159">
        <f>(E104+F104+G104)*H104/100</f>
        <v>1628.64</v>
      </c>
      <c r="J104" s="162">
        <v>30</v>
      </c>
      <c r="K104" s="159">
        <f>(E104+F104+G104)*J104/100</f>
        <v>1628.64</v>
      </c>
      <c r="L104" s="159">
        <f>C104*D104*10-22886.4</f>
        <v>672000</v>
      </c>
      <c r="M104" s="23"/>
      <c r="N104" s="23"/>
    </row>
    <row r="105" spans="1:14" ht="16.45" customHeight="1" x14ac:dyDescent="0.25">
      <c r="A105" s="64" t="s">
        <v>411</v>
      </c>
      <c r="B105" s="67" t="s">
        <v>453</v>
      </c>
      <c r="C105" s="111">
        <v>1</v>
      </c>
      <c r="D105" s="159">
        <f t="shared" ref="D105:D113" si="43">E105+F105+G105+I105+K105</f>
        <v>9932.16</v>
      </c>
      <c r="E105" s="159">
        <v>5173</v>
      </c>
      <c r="F105" s="159">
        <f t="shared" ref="F105:F113" si="44">E105*0.2</f>
        <v>1034.6000000000001</v>
      </c>
      <c r="G105" s="159"/>
      <c r="H105" s="162">
        <v>30</v>
      </c>
      <c r="I105" s="159">
        <f t="shared" ref="I105:I113" si="45">(E105+F105+G105)*H105/100</f>
        <v>1862.28</v>
      </c>
      <c r="J105" s="162">
        <v>30</v>
      </c>
      <c r="K105" s="159">
        <f t="shared" ref="K105:K113" si="46">(E105+F105+G105)*J105/100</f>
        <v>1862.28</v>
      </c>
      <c r="L105" s="159">
        <f>C105*D105*9-5389.44</f>
        <v>84000</v>
      </c>
      <c r="M105" s="23"/>
      <c r="N105" s="23"/>
    </row>
    <row r="106" spans="1:14" ht="16.45" customHeight="1" x14ac:dyDescent="0.25">
      <c r="A106" s="64" t="s">
        <v>609</v>
      </c>
      <c r="B106" s="67" t="s">
        <v>611</v>
      </c>
      <c r="C106" s="111">
        <v>0.75</v>
      </c>
      <c r="D106" s="159">
        <f t="shared" si="43"/>
        <v>7480.32</v>
      </c>
      <c r="E106" s="159">
        <v>3896</v>
      </c>
      <c r="F106" s="159">
        <f t="shared" si="44"/>
        <v>779.2</v>
      </c>
      <c r="G106" s="159"/>
      <c r="H106" s="162">
        <v>30</v>
      </c>
      <c r="I106" s="159">
        <f t="shared" si="45"/>
        <v>1402.56</v>
      </c>
      <c r="J106" s="162">
        <v>30</v>
      </c>
      <c r="K106" s="159">
        <f t="shared" si="46"/>
        <v>1402.56</v>
      </c>
      <c r="L106" s="159">
        <f>C106*D106*12-4322.88</f>
        <v>63000.000000000007</v>
      </c>
      <c r="M106" s="23"/>
      <c r="N106" s="23"/>
    </row>
    <row r="107" spans="1:14" ht="16.45" customHeight="1" x14ac:dyDescent="0.25">
      <c r="A107" s="64" t="s">
        <v>424</v>
      </c>
      <c r="B107" s="67" t="s">
        <v>612</v>
      </c>
      <c r="C107" s="111">
        <v>0.75</v>
      </c>
      <c r="D107" s="159">
        <f t="shared" si="43"/>
        <v>6741.12</v>
      </c>
      <c r="E107" s="159">
        <v>3511</v>
      </c>
      <c r="F107" s="159">
        <f t="shared" si="44"/>
        <v>702.2</v>
      </c>
      <c r="G107" s="159"/>
      <c r="H107" s="162">
        <v>30</v>
      </c>
      <c r="I107" s="159">
        <f t="shared" si="45"/>
        <v>1263.96</v>
      </c>
      <c r="J107" s="162">
        <v>30</v>
      </c>
      <c r="K107" s="159">
        <f t="shared" si="46"/>
        <v>1263.96</v>
      </c>
      <c r="L107" s="159">
        <f>C107*D107*12+2329.92</f>
        <v>63000</v>
      </c>
      <c r="M107" s="23"/>
      <c r="N107" s="23"/>
    </row>
    <row r="108" spans="1:14" ht="16.45" customHeight="1" x14ac:dyDescent="0.25">
      <c r="A108" s="64" t="s">
        <v>412</v>
      </c>
      <c r="B108" s="67" t="s">
        <v>613</v>
      </c>
      <c r="C108" s="111">
        <v>2</v>
      </c>
      <c r="D108" s="159">
        <f t="shared" si="43"/>
        <v>9780.48</v>
      </c>
      <c r="E108" s="159">
        <v>5094</v>
      </c>
      <c r="F108" s="159">
        <f t="shared" si="44"/>
        <v>1018.8000000000001</v>
      </c>
      <c r="G108" s="159"/>
      <c r="H108" s="162">
        <v>30</v>
      </c>
      <c r="I108" s="159">
        <f t="shared" si="45"/>
        <v>1833.84</v>
      </c>
      <c r="J108" s="162">
        <v>30</v>
      </c>
      <c r="K108" s="159">
        <f t="shared" si="46"/>
        <v>1833.84</v>
      </c>
      <c r="L108" s="159">
        <f>C108*D108*5-1804.8</f>
        <v>95999.999999999985</v>
      </c>
      <c r="M108" s="23"/>
      <c r="N108" s="23"/>
    </row>
    <row r="109" spans="1:14" ht="28.5" customHeight="1" x14ac:dyDescent="0.25">
      <c r="A109" s="64" t="s">
        <v>641</v>
      </c>
      <c r="B109" s="67" t="s">
        <v>614</v>
      </c>
      <c r="C109" s="111">
        <v>7.5</v>
      </c>
      <c r="D109" s="159">
        <f t="shared" si="43"/>
        <v>14261.76</v>
      </c>
      <c r="E109" s="159">
        <v>7428</v>
      </c>
      <c r="F109" s="159">
        <f t="shared" si="44"/>
        <v>1485.6000000000001</v>
      </c>
      <c r="G109" s="159"/>
      <c r="H109" s="162">
        <v>30</v>
      </c>
      <c r="I109" s="159">
        <f t="shared" si="45"/>
        <v>2674.08</v>
      </c>
      <c r="J109" s="162">
        <v>30</v>
      </c>
      <c r="K109" s="159">
        <f t="shared" si="46"/>
        <v>2674.08</v>
      </c>
      <c r="L109" s="159">
        <f>C109*D109*3+39110.4</f>
        <v>360000</v>
      </c>
      <c r="M109" s="23"/>
      <c r="N109" s="23"/>
    </row>
    <row r="110" spans="1:14" ht="16.45" customHeight="1" x14ac:dyDescent="0.25">
      <c r="A110" s="64" t="s">
        <v>416</v>
      </c>
      <c r="B110" s="67" t="s">
        <v>615</v>
      </c>
      <c r="C110" s="111">
        <v>1</v>
      </c>
      <c r="D110" s="159">
        <f t="shared" si="43"/>
        <v>28000.000154879999</v>
      </c>
      <c r="E110" s="159">
        <v>4524</v>
      </c>
      <c r="F110" s="159">
        <f t="shared" si="44"/>
        <v>904.80000000000007</v>
      </c>
      <c r="G110" s="159">
        <f>E110*2.6682582</f>
        <v>12071.200096799999</v>
      </c>
      <c r="H110" s="162">
        <v>30</v>
      </c>
      <c r="I110" s="159">
        <f t="shared" si="45"/>
        <v>5250.0000290400003</v>
      </c>
      <c r="J110" s="162">
        <v>30</v>
      </c>
      <c r="K110" s="159">
        <f t="shared" si="46"/>
        <v>5250.0000290400003</v>
      </c>
      <c r="L110" s="159">
        <f>C110*D110*12</f>
        <v>336000.00185856002</v>
      </c>
      <c r="M110" s="23"/>
      <c r="N110" s="23"/>
    </row>
    <row r="111" spans="1:14" ht="27.7" customHeight="1" x14ac:dyDescent="0.25">
      <c r="A111" s="64" t="s">
        <v>642</v>
      </c>
      <c r="B111" s="67" t="s">
        <v>616</v>
      </c>
      <c r="C111" s="111">
        <v>0.42</v>
      </c>
      <c r="D111" s="159">
        <f t="shared" si="43"/>
        <v>27999.99943104</v>
      </c>
      <c r="E111" s="159">
        <v>4524</v>
      </c>
      <c r="F111" s="159">
        <f t="shared" si="44"/>
        <v>904.80000000000007</v>
      </c>
      <c r="G111" s="159">
        <f>E111*2.6682581</f>
        <v>12071.1996444</v>
      </c>
      <c r="H111" s="162">
        <v>30</v>
      </c>
      <c r="I111" s="159">
        <f t="shared" si="45"/>
        <v>5249.9998933200004</v>
      </c>
      <c r="J111" s="162">
        <v>30</v>
      </c>
      <c r="K111" s="159">
        <f t="shared" si="46"/>
        <v>5249.9998933200004</v>
      </c>
      <c r="L111" s="159">
        <f t="shared" ref="L111:L113" si="47">C111*D111*12</f>
        <v>141119.99713244158</v>
      </c>
      <c r="M111" s="23"/>
      <c r="N111" s="23"/>
    </row>
    <row r="112" spans="1:14" ht="26.3" customHeight="1" x14ac:dyDescent="0.25">
      <c r="A112" s="64" t="s">
        <v>643</v>
      </c>
      <c r="B112" s="67" t="s">
        <v>617</v>
      </c>
      <c r="C112" s="111">
        <v>3</v>
      </c>
      <c r="D112" s="159">
        <f t="shared" si="43"/>
        <v>27999.999902768002</v>
      </c>
      <c r="E112" s="159">
        <v>3511</v>
      </c>
      <c r="F112" s="159">
        <f t="shared" si="44"/>
        <v>702.2</v>
      </c>
      <c r="G112" s="159">
        <f>E112*3.78433493</f>
        <v>13286.799939230001</v>
      </c>
      <c r="H112" s="162">
        <v>30</v>
      </c>
      <c r="I112" s="159">
        <f t="shared" si="45"/>
        <v>5249.9999817690004</v>
      </c>
      <c r="J112" s="162">
        <v>30</v>
      </c>
      <c r="K112" s="159">
        <f t="shared" si="46"/>
        <v>5249.9999817690004</v>
      </c>
      <c r="L112" s="159">
        <f t="shared" si="47"/>
        <v>1007999.9964996481</v>
      </c>
      <c r="M112" s="23"/>
      <c r="N112" s="23"/>
    </row>
    <row r="113" spans="1:14" ht="28.5" customHeight="1" x14ac:dyDescent="0.25">
      <c r="A113" s="64" t="s">
        <v>644</v>
      </c>
      <c r="B113" s="67" t="s">
        <v>618</v>
      </c>
      <c r="C113" s="111">
        <v>0.83</v>
      </c>
      <c r="D113" s="159">
        <f t="shared" si="43"/>
        <v>28000.041119679998</v>
      </c>
      <c r="E113" s="159">
        <v>5267</v>
      </c>
      <c r="F113" s="159">
        <f t="shared" si="44"/>
        <v>1053.4000000000001</v>
      </c>
      <c r="G113" s="159">
        <f>E113*2.1225794</f>
        <v>11179.625699799999</v>
      </c>
      <c r="H113" s="162">
        <v>30</v>
      </c>
      <c r="I113" s="159">
        <f t="shared" si="45"/>
        <v>5250.0077099399987</v>
      </c>
      <c r="J113" s="162">
        <v>30</v>
      </c>
      <c r="K113" s="159">
        <f t="shared" si="46"/>
        <v>5250.0077099399987</v>
      </c>
      <c r="L113" s="159">
        <f t="shared" si="47"/>
        <v>278880.40955201274</v>
      </c>
      <c r="M113" s="23"/>
      <c r="N113" s="23"/>
    </row>
    <row r="114" spans="1:14" ht="16.45" customHeight="1" x14ac:dyDescent="0.25">
      <c r="A114" s="162" t="s">
        <v>121</v>
      </c>
      <c r="B114" s="162">
        <v>2110</v>
      </c>
      <c r="C114" s="10">
        <f>SUM(C74:C113)</f>
        <v>56.75</v>
      </c>
      <c r="D114" s="163" t="s">
        <v>1</v>
      </c>
      <c r="E114" s="163" t="s">
        <v>1</v>
      </c>
      <c r="F114" s="163" t="s">
        <v>1</v>
      </c>
      <c r="G114" s="163" t="s">
        <v>1</v>
      </c>
      <c r="H114" s="163" t="s">
        <v>1</v>
      </c>
      <c r="I114" s="163" t="s">
        <v>1</v>
      </c>
      <c r="J114" s="163" t="s">
        <v>1</v>
      </c>
      <c r="K114" s="163" t="s">
        <v>1</v>
      </c>
      <c r="L114" s="155">
        <f>SUM(L74:L113)</f>
        <v>6780775.0002426635</v>
      </c>
      <c r="M114" s="23"/>
      <c r="N114" s="23"/>
    </row>
    <row r="115" spans="1:14" ht="13.15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</row>
    <row r="116" spans="1:14" ht="13.15" x14ac:dyDescent="0.2">
      <c r="A116" s="272" t="s">
        <v>647</v>
      </c>
      <c r="B116" s="272"/>
      <c r="C116" s="272"/>
      <c r="D116" s="272"/>
      <c r="E116" s="272"/>
      <c r="F116" s="272"/>
      <c r="G116" s="272"/>
      <c r="H116" s="272"/>
      <c r="I116" s="272"/>
      <c r="J116" s="272"/>
      <c r="K116" s="272"/>
      <c r="L116" s="272"/>
      <c r="M116" s="272"/>
      <c r="N116" s="272"/>
    </row>
    <row r="117" spans="1:14" ht="13.15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1:14" ht="15.05" customHeight="1" x14ac:dyDescent="0.2">
      <c r="A118" s="245" t="s">
        <v>160</v>
      </c>
      <c r="B118" s="245" t="s">
        <v>11</v>
      </c>
      <c r="C118" s="245" t="s">
        <v>161</v>
      </c>
      <c r="D118" s="247" t="s">
        <v>162</v>
      </c>
      <c r="E118" s="247"/>
      <c r="F118" s="247"/>
      <c r="G118" s="247"/>
      <c r="H118" s="247"/>
      <c r="I118" s="247"/>
      <c r="J118" s="247"/>
      <c r="K118" s="247"/>
      <c r="L118" s="248" t="s">
        <v>163</v>
      </c>
      <c r="M118" s="66"/>
      <c r="N118" s="66"/>
    </row>
    <row r="119" spans="1:14" ht="12.7" customHeight="1" x14ac:dyDescent="0.2">
      <c r="A119" s="245"/>
      <c r="B119" s="245"/>
      <c r="C119" s="245"/>
      <c r="D119" s="248" t="s">
        <v>379</v>
      </c>
      <c r="E119" s="247" t="s">
        <v>57</v>
      </c>
      <c r="F119" s="247"/>
      <c r="G119" s="247"/>
      <c r="H119" s="247"/>
      <c r="I119" s="247"/>
      <c r="J119" s="247"/>
      <c r="K119" s="247"/>
      <c r="L119" s="248"/>
      <c r="M119" s="66"/>
      <c r="N119" s="66"/>
    </row>
    <row r="120" spans="1:14" ht="20.2" customHeight="1" x14ac:dyDescent="0.2">
      <c r="A120" s="245"/>
      <c r="B120" s="245"/>
      <c r="C120" s="245"/>
      <c r="D120" s="248"/>
      <c r="E120" s="248" t="s">
        <v>164</v>
      </c>
      <c r="F120" s="248" t="s">
        <v>165</v>
      </c>
      <c r="G120" s="248" t="s">
        <v>166</v>
      </c>
      <c r="H120" s="245" t="s">
        <v>167</v>
      </c>
      <c r="I120" s="245"/>
      <c r="J120" s="245" t="s">
        <v>168</v>
      </c>
      <c r="K120" s="245"/>
      <c r="L120" s="248"/>
      <c r="M120" s="66"/>
      <c r="N120" s="66"/>
    </row>
    <row r="121" spans="1:14" ht="52.6" x14ac:dyDescent="0.2">
      <c r="A121" s="245"/>
      <c r="B121" s="245"/>
      <c r="C121" s="245"/>
      <c r="D121" s="248"/>
      <c r="E121" s="248"/>
      <c r="F121" s="248"/>
      <c r="G121" s="248"/>
      <c r="H121" s="49" t="s">
        <v>169</v>
      </c>
      <c r="I121" s="48" t="s">
        <v>170</v>
      </c>
      <c r="J121" s="49" t="s">
        <v>169</v>
      </c>
      <c r="K121" s="48" t="s">
        <v>171</v>
      </c>
      <c r="L121" s="248"/>
      <c r="M121" s="66"/>
      <c r="N121" s="66"/>
    </row>
    <row r="122" spans="1:14" ht="13.15" x14ac:dyDescent="0.2">
      <c r="A122" s="47" t="s">
        <v>19</v>
      </c>
      <c r="B122" s="47" t="s">
        <v>20</v>
      </c>
      <c r="C122" s="47" t="s">
        <v>21</v>
      </c>
      <c r="D122" s="47" t="s">
        <v>22</v>
      </c>
      <c r="E122" s="47" t="s">
        <v>23</v>
      </c>
      <c r="F122" s="47" t="s">
        <v>24</v>
      </c>
      <c r="G122" s="47" t="s">
        <v>25</v>
      </c>
      <c r="H122" s="47" t="s">
        <v>26</v>
      </c>
      <c r="I122" s="47" t="s">
        <v>27</v>
      </c>
      <c r="J122" s="47" t="s">
        <v>28</v>
      </c>
      <c r="K122" s="47" t="s">
        <v>29</v>
      </c>
      <c r="L122" s="47" t="s">
        <v>172</v>
      </c>
      <c r="M122" s="66"/>
      <c r="N122" s="66"/>
    </row>
    <row r="123" spans="1:14" ht="26.3" x14ac:dyDescent="0.2">
      <c r="A123" s="63" t="s">
        <v>607</v>
      </c>
      <c r="B123" s="67" t="s">
        <v>31</v>
      </c>
      <c r="C123" s="111">
        <v>1</v>
      </c>
      <c r="D123" s="159">
        <f>E123+F123+G123+I123+K123</f>
        <v>29107.699200000006</v>
      </c>
      <c r="E123" s="159">
        <v>15160.26</v>
      </c>
      <c r="F123" s="159">
        <f>E123*0.2</f>
        <v>3032.0520000000001</v>
      </c>
      <c r="G123" s="159"/>
      <c r="H123" s="162">
        <v>30</v>
      </c>
      <c r="I123" s="159">
        <f>(E123+F123+G123)*H123/100</f>
        <v>5457.6936000000014</v>
      </c>
      <c r="J123" s="162">
        <v>30</v>
      </c>
      <c r="K123" s="159">
        <f>(E123+F123+G123)*J123/100</f>
        <v>5457.6936000000014</v>
      </c>
      <c r="L123" s="159">
        <f>C123*D123*6+3128.8</f>
        <v>177774.99520000003</v>
      </c>
      <c r="M123" s="66"/>
      <c r="N123" s="66"/>
    </row>
    <row r="124" spans="1:14" ht="14.25" customHeight="1" x14ac:dyDescent="0.2">
      <c r="A124" s="63" t="s">
        <v>608</v>
      </c>
      <c r="B124" s="67" t="s">
        <v>33</v>
      </c>
      <c r="C124" s="111">
        <v>1</v>
      </c>
      <c r="D124" s="159">
        <f t="shared" ref="D124:D144" si="48">E124+F124+G124+I124+K124</f>
        <v>17328</v>
      </c>
      <c r="E124" s="159">
        <v>9025</v>
      </c>
      <c r="F124" s="159">
        <f t="shared" ref="F124:F144" si="49">E124*0.2</f>
        <v>1805</v>
      </c>
      <c r="G124" s="159"/>
      <c r="H124" s="162">
        <v>30</v>
      </c>
      <c r="I124" s="159">
        <f t="shared" ref="I124:I144" si="50">(E124+F124+G124)*H124/100</f>
        <v>3249</v>
      </c>
      <c r="J124" s="162">
        <v>30</v>
      </c>
      <c r="K124" s="159">
        <f t="shared" ref="K124:K144" si="51">(E124+F124+G124)*J124/100</f>
        <v>3249</v>
      </c>
      <c r="L124" s="159">
        <f>C124*D124*10-5280</f>
        <v>168000</v>
      </c>
      <c r="M124" s="66"/>
      <c r="N124" s="66"/>
    </row>
    <row r="125" spans="1:14" ht="16.45" customHeight="1" x14ac:dyDescent="0.2">
      <c r="A125" s="63" t="s">
        <v>636</v>
      </c>
      <c r="B125" s="67" t="s">
        <v>380</v>
      </c>
      <c r="C125" s="111">
        <v>1</v>
      </c>
      <c r="D125" s="159">
        <f t="shared" si="48"/>
        <v>25100.16</v>
      </c>
      <c r="E125" s="159">
        <v>13073</v>
      </c>
      <c r="F125" s="159">
        <f t="shared" si="49"/>
        <v>2614.6000000000004</v>
      </c>
      <c r="G125" s="159"/>
      <c r="H125" s="162">
        <v>30</v>
      </c>
      <c r="I125" s="159">
        <f t="shared" si="50"/>
        <v>4706.28</v>
      </c>
      <c r="J125" s="162">
        <v>30</v>
      </c>
      <c r="K125" s="159">
        <f t="shared" si="51"/>
        <v>4706.28</v>
      </c>
      <c r="L125" s="159">
        <f>C125*D125*7-7701.12</f>
        <v>168000</v>
      </c>
      <c r="M125" s="66"/>
      <c r="N125" s="66"/>
    </row>
    <row r="126" spans="1:14" ht="27.1" customHeight="1" x14ac:dyDescent="0.2">
      <c r="A126" s="64" t="s">
        <v>637</v>
      </c>
      <c r="B126" s="67" t="s">
        <v>428</v>
      </c>
      <c r="C126" s="111">
        <v>0.5</v>
      </c>
      <c r="D126" s="159">
        <f t="shared" si="48"/>
        <v>19224.96</v>
      </c>
      <c r="E126" s="159">
        <v>10013</v>
      </c>
      <c r="F126" s="159">
        <f t="shared" si="49"/>
        <v>2002.6000000000001</v>
      </c>
      <c r="G126" s="159"/>
      <c r="H126" s="162">
        <v>30</v>
      </c>
      <c r="I126" s="159">
        <f t="shared" si="50"/>
        <v>3604.68</v>
      </c>
      <c r="J126" s="162">
        <v>30</v>
      </c>
      <c r="K126" s="159">
        <f t="shared" si="51"/>
        <v>3604.68</v>
      </c>
      <c r="L126" s="159">
        <f>C126*D126*9-2512.32</f>
        <v>83999.999999999985</v>
      </c>
      <c r="M126" s="66"/>
      <c r="N126" s="66"/>
    </row>
    <row r="127" spans="1:14" ht="15.85" customHeight="1" x14ac:dyDescent="0.2">
      <c r="A127" s="64" t="s">
        <v>410</v>
      </c>
      <c r="B127" s="67" t="s">
        <v>427</v>
      </c>
      <c r="C127" s="111">
        <v>1</v>
      </c>
      <c r="D127" s="159">
        <f t="shared" si="48"/>
        <v>14261.76</v>
      </c>
      <c r="E127" s="159">
        <v>7428</v>
      </c>
      <c r="F127" s="159">
        <f t="shared" si="49"/>
        <v>1485.6000000000001</v>
      </c>
      <c r="G127" s="159"/>
      <c r="H127" s="162">
        <v>30</v>
      </c>
      <c r="I127" s="159">
        <f t="shared" si="50"/>
        <v>2674.08</v>
      </c>
      <c r="J127" s="162">
        <v>30</v>
      </c>
      <c r="K127" s="159">
        <f t="shared" si="51"/>
        <v>2674.08</v>
      </c>
      <c r="L127" s="159">
        <f>C127*D127*12-3141.12</f>
        <v>168000</v>
      </c>
      <c r="M127" s="66"/>
      <c r="N127" s="66"/>
    </row>
    <row r="128" spans="1:14" ht="15.85" customHeight="1" x14ac:dyDescent="0.2">
      <c r="A128" s="63" t="s">
        <v>409</v>
      </c>
      <c r="B128" s="67" t="s">
        <v>429</v>
      </c>
      <c r="C128" s="111">
        <v>0.5</v>
      </c>
      <c r="D128" s="159">
        <f t="shared" si="48"/>
        <v>14261.76</v>
      </c>
      <c r="E128" s="159">
        <v>7428</v>
      </c>
      <c r="F128" s="159">
        <f t="shared" si="49"/>
        <v>1485.6000000000001</v>
      </c>
      <c r="G128" s="159"/>
      <c r="H128" s="162">
        <v>30</v>
      </c>
      <c r="I128" s="159">
        <f t="shared" si="50"/>
        <v>2674.08</v>
      </c>
      <c r="J128" s="162">
        <v>30</v>
      </c>
      <c r="K128" s="159">
        <f t="shared" si="51"/>
        <v>2674.08</v>
      </c>
      <c r="L128" s="159">
        <f>C128*D128*12-1570.56</f>
        <v>84000</v>
      </c>
      <c r="M128" s="66"/>
      <c r="N128" s="66"/>
    </row>
    <row r="129" spans="1:14" ht="15.85" customHeight="1" x14ac:dyDescent="0.2">
      <c r="A129" s="63" t="s">
        <v>401</v>
      </c>
      <c r="B129" s="67" t="s">
        <v>430</v>
      </c>
      <c r="C129" s="111">
        <v>1.5</v>
      </c>
      <c r="D129" s="159">
        <f t="shared" si="48"/>
        <v>25100.16</v>
      </c>
      <c r="E129" s="159">
        <v>13073</v>
      </c>
      <c r="F129" s="159">
        <f t="shared" si="49"/>
        <v>2614.6000000000004</v>
      </c>
      <c r="G129" s="159"/>
      <c r="H129" s="162">
        <v>30</v>
      </c>
      <c r="I129" s="159">
        <f t="shared" si="50"/>
        <v>4706.28</v>
      </c>
      <c r="J129" s="162">
        <v>30</v>
      </c>
      <c r="K129" s="159">
        <f t="shared" si="51"/>
        <v>4706.28</v>
      </c>
      <c r="L129" s="159">
        <f>C129*D129*7-11551.68</f>
        <v>252000</v>
      </c>
      <c r="M129" s="66"/>
      <c r="N129" s="66"/>
    </row>
    <row r="130" spans="1:14" ht="28.5" customHeight="1" x14ac:dyDescent="0.2">
      <c r="A130" s="63" t="s">
        <v>422</v>
      </c>
      <c r="B130" s="67" t="s">
        <v>431</v>
      </c>
      <c r="C130" s="111">
        <v>0.75</v>
      </c>
      <c r="D130" s="159">
        <f t="shared" si="48"/>
        <v>25100.16</v>
      </c>
      <c r="E130" s="159">
        <v>13073</v>
      </c>
      <c r="F130" s="159">
        <f t="shared" si="49"/>
        <v>2614.6000000000004</v>
      </c>
      <c r="G130" s="159"/>
      <c r="H130" s="162">
        <v>30</v>
      </c>
      <c r="I130" s="159">
        <f t="shared" si="50"/>
        <v>4706.28</v>
      </c>
      <c r="J130" s="162">
        <v>30</v>
      </c>
      <c r="K130" s="159">
        <f t="shared" si="51"/>
        <v>4706.28</v>
      </c>
      <c r="L130" s="159">
        <f>C130*D130*7-5775.84</f>
        <v>126000</v>
      </c>
      <c r="M130" s="66"/>
      <c r="N130" s="66"/>
    </row>
    <row r="131" spans="1:14" ht="15.85" customHeight="1" x14ac:dyDescent="0.2">
      <c r="A131" s="63" t="s">
        <v>402</v>
      </c>
      <c r="B131" s="67" t="s">
        <v>432</v>
      </c>
      <c r="C131" s="111">
        <v>1</v>
      </c>
      <c r="D131" s="159">
        <f t="shared" si="48"/>
        <v>25100.16</v>
      </c>
      <c r="E131" s="159">
        <v>13073</v>
      </c>
      <c r="F131" s="159">
        <f t="shared" si="49"/>
        <v>2614.6000000000004</v>
      </c>
      <c r="G131" s="159"/>
      <c r="H131" s="162">
        <v>30</v>
      </c>
      <c r="I131" s="159">
        <f t="shared" si="50"/>
        <v>4706.28</v>
      </c>
      <c r="J131" s="162">
        <v>30</v>
      </c>
      <c r="K131" s="159">
        <f t="shared" si="51"/>
        <v>4706.28</v>
      </c>
      <c r="L131" s="159">
        <f>C131*D131*7-7701.12</f>
        <v>168000</v>
      </c>
      <c r="M131" s="66"/>
      <c r="N131" s="66"/>
    </row>
    <row r="132" spans="1:14" ht="27.7" customHeight="1" x14ac:dyDescent="0.2">
      <c r="A132" s="63" t="s">
        <v>400</v>
      </c>
      <c r="B132" s="67" t="s">
        <v>433</v>
      </c>
      <c r="C132" s="111">
        <v>0.75</v>
      </c>
      <c r="D132" s="159">
        <f t="shared" si="48"/>
        <v>25100.16</v>
      </c>
      <c r="E132" s="159">
        <v>13073</v>
      </c>
      <c r="F132" s="159">
        <f t="shared" si="49"/>
        <v>2614.6000000000004</v>
      </c>
      <c r="G132" s="159"/>
      <c r="H132" s="162">
        <v>30</v>
      </c>
      <c r="I132" s="159">
        <f t="shared" si="50"/>
        <v>4706.28</v>
      </c>
      <c r="J132" s="162">
        <v>30</v>
      </c>
      <c r="K132" s="159">
        <f t="shared" si="51"/>
        <v>4706.28</v>
      </c>
      <c r="L132" s="159">
        <f>C132*D132*7-5775.84</f>
        <v>126000</v>
      </c>
      <c r="M132" s="66"/>
      <c r="N132" s="66"/>
    </row>
    <row r="133" spans="1:14" ht="15.05" customHeight="1" x14ac:dyDescent="0.2">
      <c r="A133" s="63" t="s">
        <v>403</v>
      </c>
      <c r="B133" s="67" t="s">
        <v>434</v>
      </c>
      <c r="C133" s="111">
        <v>1</v>
      </c>
      <c r="D133" s="159">
        <f t="shared" si="48"/>
        <v>25100.16</v>
      </c>
      <c r="E133" s="159">
        <v>13073</v>
      </c>
      <c r="F133" s="159">
        <f t="shared" si="49"/>
        <v>2614.6000000000004</v>
      </c>
      <c r="G133" s="159"/>
      <c r="H133" s="162">
        <v>30</v>
      </c>
      <c r="I133" s="159">
        <f t="shared" si="50"/>
        <v>4706.28</v>
      </c>
      <c r="J133" s="162">
        <v>30</v>
      </c>
      <c r="K133" s="159">
        <f t="shared" si="51"/>
        <v>4706.28</v>
      </c>
      <c r="L133" s="159">
        <f>C133*D133*6-6600.96</f>
        <v>144000</v>
      </c>
      <c r="M133" s="66"/>
      <c r="N133" s="66"/>
    </row>
    <row r="134" spans="1:14" ht="14.25" customHeight="1" x14ac:dyDescent="0.2">
      <c r="A134" s="63" t="s">
        <v>399</v>
      </c>
      <c r="B134" s="67" t="s">
        <v>435</v>
      </c>
      <c r="C134" s="111">
        <v>1</v>
      </c>
      <c r="D134" s="159">
        <f t="shared" si="48"/>
        <v>25100.16</v>
      </c>
      <c r="E134" s="159">
        <v>13073</v>
      </c>
      <c r="F134" s="159">
        <f t="shared" si="49"/>
        <v>2614.6000000000004</v>
      </c>
      <c r="G134" s="159"/>
      <c r="H134" s="162">
        <v>30</v>
      </c>
      <c r="I134" s="159">
        <f t="shared" si="50"/>
        <v>4706.28</v>
      </c>
      <c r="J134" s="162">
        <v>30</v>
      </c>
      <c r="K134" s="159">
        <f t="shared" si="51"/>
        <v>4706.28</v>
      </c>
      <c r="L134" s="159">
        <f>C134*D134*6-6600.96</f>
        <v>144000</v>
      </c>
      <c r="M134" s="66"/>
      <c r="N134" s="66"/>
    </row>
    <row r="135" spans="1:14" ht="26.3" customHeight="1" x14ac:dyDescent="0.2">
      <c r="A135" s="64" t="s">
        <v>419</v>
      </c>
      <c r="B135" s="67" t="s">
        <v>436</v>
      </c>
      <c r="C135" s="111">
        <v>0.25</v>
      </c>
      <c r="D135" s="159">
        <f t="shared" si="48"/>
        <v>9914.880000000001</v>
      </c>
      <c r="E135" s="159">
        <v>5164</v>
      </c>
      <c r="F135" s="159">
        <f t="shared" si="49"/>
        <v>1032.8</v>
      </c>
      <c r="G135" s="159"/>
      <c r="H135" s="162">
        <v>30</v>
      </c>
      <c r="I135" s="159">
        <f t="shared" si="50"/>
        <v>1859.04</v>
      </c>
      <c r="J135" s="162">
        <v>30</v>
      </c>
      <c r="K135" s="159">
        <f t="shared" si="51"/>
        <v>1859.04</v>
      </c>
      <c r="L135" s="159">
        <f>C135*D135*12-5744.64</f>
        <v>24000.000000000004</v>
      </c>
      <c r="M135" s="66"/>
      <c r="N135" s="66"/>
    </row>
    <row r="136" spans="1:14" ht="15.05" customHeight="1" x14ac:dyDescent="0.2">
      <c r="A136" s="64" t="s">
        <v>414</v>
      </c>
      <c r="B136" s="67" t="s">
        <v>437</v>
      </c>
      <c r="C136" s="111">
        <v>1</v>
      </c>
      <c r="D136" s="159">
        <f t="shared" si="48"/>
        <v>8221.44</v>
      </c>
      <c r="E136" s="159">
        <v>4282</v>
      </c>
      <c r="F136" s="159">
        <f t="shared" si="49"/>
        <v>856.40000000000009</v>
      </c>
      <c r="G136" s="159"/>
      <c r="H136" s="162">
        <v>30</v>
      </c>
      <c r="I136" s="159">
        <f t="shared" si="50"/>
        <v>1541.52</v>
      </c>
      <c r="J136" s="162">
        <v>30</v>
      </c>
      <c r="K136" s="159">
        <f t="shared" si="51"/>
        <v>1541.52</v>
      </c>
      <c r="L136" s="159">
        <f>C136*D136*12+7842.72</f>
        <v>106500</v>
      </c>
      <c r="M136" s="66"/>
      <c r="N136" s="66"/>
    </row>
    <row r="137" spans="1:14" ht="15.85" customHeight="1" x14ac:dyDescent="0.2">
      <c r="A137" s="64" t="s">
        <v>420</v>
      </c>
      <c r="B137" s="67" t="s">
        <v>438</v>
      </c>
      <c r="C137" s="111">
        <v>1</v>
      </c>
      <c r="D137" s="159">
        <f t="shared" si="48"/>
        <v>8221.44</v>
      </c>
      <c r="E137" s="159">
        <v>4282</v>
      </c>
      <c r="F137" s="159">
        <f t="shared" si="49"/>
        <v>856.40000000000009</v>
      </c>
      <c r="G137" s="159"/>
      <c r="H137" s="162">
        <v>30</v>
      </c>
      <c r="I137" s="159">
        <f t="shared" si="50"/>
        <v>1541.52</v>
      </c>
      <c r="J137" s="162">
        <v>30</v>
      </c>
      <c r="K137" s="159">
        <f t="shared" si="51"/>
        <v>1541.52</v>
      </c>
      <c r="L137" s="159">
        <f>C137*D137*12+7842.72</f>
        <v>106500</v>
      </c>
      <c r="M137" s="66"/>
      <c r="N137" s="66"/>
    </row>
    <row r="138" spans="1:14" ht="13.15" x14ac:dyDescent="0.2">
      <c r="A138" s="64" t="s">
        <v>610</v>
      </c>
      <c r="B138" s="67" t="s">
        <v>439</v>
      </c>
      <c r="C138" s="111">
        <v>0.75</v>
      </c>
      <c r="D138" s="159">
        <f t="shared" si="48"/>
        <v>16323.839999999998</v>
      </c>
      <c r="E138" s="159">
        <v>8502</v>
      </c>
      <c r="F138" s="159">
        <f t="shared" si="49"/>
        <v>1700.4</v>
      </c>
      <c r="G138" s="159"/>
      <c r="H138" s="162">
        <v>30</v>
      </c>
      <c r="I138" s="159">
        <f t="shared" si="50"/>
        <v>3060.72</v>
      </c>
      <c r="J138" s="162">
        <v>30</v>
      </c>
      <c r="K138" s="159">
        <f t="shared" si="51"/>
        <v>3060.72</v>
      </c>
      <c r="L138" s="159">
        <f>C138*D138*6-1457.28</f>
        <v>72000</v>
      </c>
      <c r="M138" s="66"/>
      <c r="N138" s="66"/>
    </row>
    <row r="139" spans="1:14" ht="13.15" x14ac:dyDescent="0.2">
      <c r="A139" s="64" t="s">
        <v>417</v>
      </c>
      <c r="B139" s="67" t="s">
        <v>440</v>
      </c>
      <c r="C139" s="111">
        <v>0.75</v>
      </c>
      <c r="D139" s="159">
        <f t="shared" si="48"/>
        <v>16323.839999999998</v>
      </c>
      <c r="E139" s="159">
        <v>8502</v>
      </c>
      <c r="F139" s="159">
        <f t="shared" si="49"/>
        <v>1700.4</v>
      </c>
      <c r="G139" s="159"/>
      <c r="H139" s="162">
        <v>30</v>
      </c>
      <c r="I139" s="159">
        <f t="shared" si="50"/>
        <v>3060.72</v>
      </c>
      <c r="J139" s="162">
        <v>30</v>
      </c>
      <c r="K139" s="159">
        <f t="shared" si="51"/>
        <v>3060.72</v>
      </c>
      <c r="L139" s="159">
        <f>C139*D139*6-1457.28</f>
        <v>72000</v>
      </c>
      <c r="M139" s="66"/>
      <c r="N139" s="66"/>
    </row>
    <row r="140" spans="1:14" ht="14.25" customHeight="1" x14ac:dyDescent="0.2">
      <c r="A140" s="64" t="s">
        <v>592</v>
      </c>
      <c r="B140" s="67" t="s">
        <v>441</v>
      </c>
      <c r="C140" s="111">
        <v>0.5</v>
      </c>
      <c r="D140" s="159">
        <f t="shared" si="48"/>
        <v>7480.32</v>
      </c>
      <c r="E140" s="159">
        <v>3896</v>
      </c>
      <c r="F140" s="159">
        <f t="shared" si="49"/>
        <v>779.2</v>
      </c>
      <c r="G140" s="159"/>
      <c r="H140" s="162">
        <v>30</v>
      </c>
      <c r="I140" s="159">
        <f t="shared" si="50"/>
        <v>1402.56</v>
      </c>
      <c r="J140" s="162">
        <v>30</v>
      </c>
      <c r="K140" s="159">
        <f t="shared" si="51"/>
        <v>1402.56</v>
      </c>
      <c r="L140" s="159">
        <f>C140*D140*12+3118.08</f>
        <v>48000</v>
      </c>
      <c r="M140" s="66"/>
      <c r="N140" s="66"/>
    </row>
    <row r="141" spans="1:14" ht="15.05" customHeight="1" x14ac:dyDescent="0.2">
      <c r="A141" s="63" t="s">
        <v>408</v>
      </c>
      <c r="B141" s="67" t="s">
        <v>425</v>
      </c>
      <c r="C141" s="111">
        <v>0.75</v>
      </c>
      <c r="D141" s="159">
        <f t="shared" si="48"/>
        <v>19224.96</v>
      </c>
      <c r="E141" s="159">
        <v>10013</v>
      </c>
      <c r="F141" s="159">
        <f t="shared" si="49"/>
        <v>2002.6000000000001</v>
      </c>
      <c r="G141" s="159"/>
      <c r="H141" s="162">
        <v>30</v>
      </c>
      <c r="I141" s="159">
        <f t="shared" si="50"/>
        <v>3604.68</v>
      </c>
      <c r="J141" s="162">
        <v>30</v>
      </c>
      <c r="K141" s="159">
        <f t="shared" si="51"/>
        <v>3604.68</v>
      </c>
      <c r="L141" s="159">
        <f>C141*D141*5-93.6</f>
        <v>71999.999999999985</v>
      </c>
      <c r="M141" s="66"/>
      <c r="N141" s="66"/>
    </row>
    <row r="142" spans="1:14" ht="15.05" customHeight="1" x14ac:dyDescent="0.2">
      <c r="A142" s="64" t="s">
        <v>418</v>
      </c>
      <c r="B142" s="67" t="s">
        <v>442</v>
      </c>
      <c r="C142" s="111">
        <v>0.5</v>
      </c>
      <c r="D142" s="159">
        <f t="shared" si="48"/>
        <v>19224.96</v>
      </c>
      <c r="E142" s="159">
        <v>10013</v>
      </c>
      <c r="F142" s="159">
        <f t="shared" si="49"/>
        <v>2002.6000000000001</v>
      </c>
      <c r="G142" s="159"/>
      <c r="H142" s="162">
        <v>30</v>
      </c>
      <c r="I142" s="159">
        <f t="shared" si="50"/>
        <v>3604.68</v>
      </c>
      <c r="J142" s="162">
        <v>30</v>
      </c>
      <c r="K142" s="159">
        <f t="shared" si="51"/>
        <v>3604.68</v>
      </c>
      <c r="L142" s="159">
        <f>C142*D142*5-62.4</f>
        <v>47999.999999999993</v>
      </c>
      <c r="M142" s="66"/>
      <c r="N142" s="66"/>
    </row>
    <row r="143" spans="1:14" ht="15.05" customHeight="1" x14ac:dyDescent="0.2">
      <c r="A143" s="63" t="s">
        <v>407</v>
      </c>
      <c r="B143" s="67" t="s">
        <v>443</v>
      </c>
      <c r="C143" s="111">
        <v>2.5</v>
      </c>
      <c r="D143" s="159">
        <f t="shared" si="48"/>
        <v>19224.96</v>
      </c>
      <c r="E143" s="159">
        <v>10013</v>
      </c>
      <c r="F143" s="159">
        <f t="shared" si="49"/>
        <v>2002.6000000000001</v>
      </c>
      <c r="G143" s="159"/>
      <c r="H143" s="162">
        <v>30</v>
      </c>
      <c r="I143" s="159">
        <f t="shared" si="50"/>
        <v>3604.68</v>
      </c>
      <c r="J143" s="162">
        <v>30</v>
      </c>
      <c r="K143" s="159">
        <f t="shared" si="51"/>
        <v>3604.68</v>
      </c>
      <c r="L143" s="159">
        <f>C143*D143*5-312</f>
        <v>239999.99999999997</v>
      </c>
      <c r="M143" s="66"/>
      <c r="N143" s="66"/>
    </row>
    <row r="144" spans="1:14" ht="15.05" customHeight="1" x14ac:dyDescent="0.2">
      <c r="A144" s="63" t="s">
        <v>638</v>
      </c>
      <c r="B144" s="67" t="s">
        <v>444</v>
      </c>
      <c r="C144" s="111">
        <v>0.5</v>
      </c>
      <c r="D144" s="159">
        <f t="shared" si="48"/>
        <v>9914.880000000001</v>
      </c>
      <c r="E144" s="159">
        <v>5164</v>
      </c>
      <c r="F144" s="159">
        <f t="shared" si="49"/>
        <v>1032.8</v>
      </c>
      <c r="G144" s="159"/>
      <c r="H144" s="162">
        <v>30</v>
      </c>
      <c r="I144" s="159">
        <f t="shared" si="50"/>
        <v>1859.04</v>
      </c>
      <c r="J144" s="162">
        <v>30</v>
      </c>
      <c r="K144" s="159">
        <f t="shared" si="51"/>
        <v>1859.04</v>
      </c>
      <c r="L144" s="159">
        <f>C144*D144*10-1574.4</f>
        <v>48000.000000000007</v>
      </c>
      <c r="M144" s="66"/>
      <c r="N144" s="66"/>
    </row>
    <row r="145" spans="1:14" ht="15.05" customHeight="1" x14ac:dyDescent="0.2">
      <c r="A145" s="63" t="s">
        <v>404</v>
      </c>
      <c r="B145" s="67" t="s">
        <v>426</v>
      </c>
      <c r="C145" s="111">
        <v>0.75</v>
      </c>
      <c r="D145" s="159">
        <f>E145+F145+G145+I145+K145</f>
        <v>19224.96</v>
      </c>
      <c r="E145" s="159">
        <v>10013</v>
      </c>
      <c r="F145" s="159">
        <f>E145*0.2</f>
        <v>2002.6000000000001</v>
      </c>
      <c r="G145" s="159"/>
      <c r="H145" s="162">
        <v>30</v>
      </c>
      <c r="I145" s="159">
        <f>(E145+F145+G145)*H145/100</f>
        <v>3604.68</v>
      </c>
      <c r="J145" s="162">
        <v>30</v>
      </c>
      <c r="K145" s="159">
        <f>(E145+F145+G145)*J145/100</f>
        <v>3604.68</v>
      </c>
      <c r="L145" s="159">
        <f>C145*D145*5-93.6</f>
        <v>71999.999999999985</v>
      </c>
      <c r="M145" s="66"/>
      <c r="N145" s="66"/>
    </row>
    <row r="146" spans="1:14" ht="15.05" customHeight="1" x14ac:dyDescent="0.2">
      <c r="A146" s="63" t="s">
        <v>405</v>
      </c>
      <c r="B146" s="67" t="s">
        <v>445</v>
      </c>
      <c r="C146" s="111">
        <v>0.25</v>
      </c>
      <c r="D146" s="159">
        <f t="shared" ref="D146:D147" si="52">E146+F146+G146+I146+K146</f>
        <v>19224.96</v>
      </c>
      <c r="E146" s="159">
        <v>10013</v>
      </c>
      <c r="F146" s="159">
        <f t="shared" ref="F146:F147" si="53">E146*0.2</f>
        <v>2002.6000000000001</v>
      </c>
      <c r="G146" s="159"/>
      <c r="H146" s="162">
        <v>30</v>
      </c>
      <c r="I146" s="159">
        <f t="shared" ref="I146:I147" si="54">(E146+F146+G146)*H146/100</f>
        <v>3604.68</v>
      </c>
      <c r="J146" s="162">
        <v>30</v>
      </c>
      <c r="K146" s="159">
        <f t="shared" ref="K146:K147" si="55">(E146+F146+G146)*J146/100</f>
        <v>3604.68</v>
      </c>
      <c r="L146" s="159">
        <f>C146*D146*5-31.2</f>
        <v>23999.999999999996</v>
      </c>
      <c r="M146" s="66"/>
      <c r="N146" s="66"/>
    </row>
    <row r="147" spans="1:14" ht="14.25" customHeight="1" x14ac:dyDescent="0.2">
      <c r="A147" s="63" t="s">
        <v>406</v>
      </c>
      <c r="B147" s="67" t="s">
        <v>446</v>
      </c>
      <c r="C147" s="111">
        <v>1</v>
      </c>
      <c r="D147" s="159">
        <f t="shared" si="52"/>
        <v>19224.96</v>
      </c>
      <c r="E147" s="159">
        <v>10013</v>
      </c>
      <c r="F147" s="159">
        <f t="shared" si="53"/>
        <v>2002.6000000000001</v>
      </c>
      <c r="G147" s="159"/>
      <c r="H147" s="162">
        <v>30</v>
      </c>
      <c r="I147" s="159">
        <f t="shared" si="54"/>
        <v>3604.68</v>
      </c>
      <c r="J147" s="162">
        <v>30</v>
      </c>
      <c r="K147" s="159">
        <f t="shared" si="55"/>
        <v>3604.68</v>
      </c>
      <c r="L147" s="159">
        <f>C147*D147*5-124.8</f>
        <v>95999.999999999985</v>
      </c>
      <c r="M147" s="66"/>
      <c r="N147" s="66"/>
    </row>
    <row r="148" spans="1:14" ht="15.05" customHeight="1" x14ac:dyDescent="0.2">
      <c r="A148" s="64" t="s">
        <v>421</v>
      </c>
      <c r="B148" s="67" t="s">
        <v>447</v>
      </c>
      <c r="C148" s="111">
        <v>1</v>
      </c>
      <c r="D148" s="159">
        <f>E148+F148+G148+I148+K148</f>
        <v>6741.12</v>
      </c>
      <c r="E148" s="159">
        <v>3511</v>
      </c>
      <c r="F148" s="159">
        <f>E148*0.2</f>
        <v>702.2</v>
      </c>
      <c r="G148" s="159"/>
      <c r="H148" s="162">
        <v>30</v>
      </c>
      <c r="I148" s="159">
        <f>(E148+F148+G148)*H148/100</f>
        <v>1263.96</v>
      </c>
      <c r="J148" s="162">
        <v>30</v>
      </c>
      <c r="K148" s="159">
        <f>(E148+F148+G148)*J148/100</f>
        <v>1263.96</v>
      </c>
      <c r="L148" s="159">
        <f>C148*D148*12+3106.56</f>
        <v>84000</v>
      </c>
      <c r="M148" s="66"/>
      <c r="N148" s="66"/>
    </row>
    <row r="149" spans="1:14" ht="13.5" customHeight="1" x14ac:dyDescent="0.2">
      <c r="A149" s="64" t="s">
        <v>413</v>
      </c>
      <c r="B149" s="67" t="s">
        <v>448</v>
      </c>
      <c r="C149" s="111">
        <v>2</v>
      </c>
      <c r="D149" s="159">
        <f>E149+F149+G149+I149+K149</f>
        <v>11399.039999999999</v>
      </c>
      <c r="E149" s="159">
        <v>5937</v>
      </c>
      <c r="F149" s="159">
        <f>E149*0.2</f>
        <v>1187.4000000000001</v>
      </c>
      <c r="G149" s="159"/>
      <c r="H149" s="162">
        <v>30</v>
      </c>
      <c r="I149" s="159">
        <f>(E149+F149+G149)*H149/100</f>
        <v>2137.3200000000002</v>
      </c>
      <c r="J149" s="162">
        <v>30</v>
      </c>
      <c r="K149" s="159">
        <f>(E149+F149+G149)*J149/100</f>
        <v>2137.3200000000002</v>
      </c>
      <c r="L149" s="159">
        <f>C149*D149*7+8413.44</f>
        <v>168000</v>
      </c>
      <c r="M149" s="66"/>
      <c r="N149" s="66"/>
    </row>
    <row r="150" spans="1:14" ht="14.25" customHeight="1" x14ac:dyDescent="0.2">
      <c r="A150" s="63" t="s">
        <v>423</v>
      </c>
      <c r="B150" s="67" t="s">
        <v>449</v>
      </c>
      <c r="C150" s="111">
        <v>5</v>
      </c>
      <c r="D150" s="159">
        <f t="shared" ref="D150:D152" si="56">E150+F150+G150+I150+K150</f>
        <v>10112.64</v>
      </c>
      <c r="E150" s="159">
        <v>5267</v>
      </c>
      <c r="F150" s="159">
        <f t="shared" ref="F150:F152" si="57">E150*0.2</f>
        <v>1053.4000000000001</v>
      </c>
      <c r="G150" s="159"/>
      <c r="H150" s="162">
        <v>30</v>
      </c>
      <c r="I150" s="159">
        <f t="shared" ref="I150:I152" si="58">(E150+F150+G150)*H150/100</f>
        <v>1896.12</v>
      </c>
      <c r="J150" s="162">
        <v>30</v>
      </c>
      <c r="K150" s="159">
        <f t="shared" ref="K150:K152" si="59">(E150+F150+G150)*J150/100</f>
        <v>1896.12</v>
      </c>
      <c r="L150" s="159">
        <f>C150*D150*8+15494</f>
        <v>419999.6</v>
      </c>
      <c r="M150" s="66"/>
      <c r="N150" s="66"/>
    </row>
    <row r="151" spans="1:14" ht="27.1" customHeight="1" x14ac:dyDescent="0.2">
      <c r="A151" s="63" t="s">
        <v>639</v>
      </c>
      <c r="B151" s="67" t="s">
        <v>450</v>
      </c>
      <c r="C151" s="111">
        <v>1.5</v>
      </c>
      <c r="D151" s="159">
        <f t="shared" si="56"/>
        <v>10112.64</v>
      </c>
      <c r="E151" s="159">
        <v>5267</v>
      </c>
      <c r="F151" s="159">
        <f t="shared" si="57"/>
        <v>1053.4000000000001</v>
      </c>
      <c r="G151" s="159"/>
      <c r="H151" s="162">
        <v>30</v>
      </c>
      <c r="I151" s="159">
        <f t="shared" si="58"/>
        <v>1896.12</v>
      </c>
      <c r="J151" s="162">
        <v>30</v>
      </c>
      <c r="K151" s="159">
        <f t="shared" si="59"/>
        <v>1896.12</v>
      </c>
      <c r="L151" s="159">
        <f>C151*D151*8+4648.32</f>
        <v>126000</v>
      </c>
      <c r="M151" s="66"/>
      <c r="N151" s="66"/>
    </row>
    <row r="152" spans="1:14" ht="27.1" customHeight="1" x14ac:dyDescent="0.2">
      <c r="A152" s="63" t="s">
        <v>640</v>
      </c>
      <c r="B152" s="67" t="s">
        <v>451</v>
      </c>
      <c r="C152" s="111">
        <v>0.5</v>
      </c>
      <c r="D152" s="159">
        <f t="shared" si="56"/>
        <v>9932.16</v>
      </c>
      <c r="E152" s="159">
        <v>5173</v>
      </c>
      <c r="F152" s="159">
        <f t="shared" si="57"/>
        <v>1034.6000000000001</v>
      </c>
      <c r="G152" s="159"/>
      <c r="H152" s="162">
        <v>30</v>
      </c>
      <c r="I152" s="159">
        <f t="shared" si="58"/>
        <v>1862.28</v>
      </c>
      <c r="J152" s="162">
        <v>30</v>
      </c>
      <c r="K152" s="159">
        <f t="shared" si="59"/>
        <v>1862.28</v>
      </c>
      <c r="L152" s="159">
        <f>C152*D152*8+2271.36</f>
        <v>42000</v>
      </c>
      <c r="M152" s="66"/>
      <c r="N152" s="66"/>
    </row>
    <row r="153" spans="1:14" ht="14.25" customHeight="1" x14ac:dyDescent="0.2">
      <c r="A153" s="63" t="s">
        <v>415</v>
      </c>
      <c r="B153" s="67" t="s">
        <v>452</v>
      </c>
      <c r="C153" s="111">
        <v>8</v>
      </c>
      <c r="D153" s="159">
        <f>E153+F153+G153+I153+K153</f>
        <v>8686.08</v>
      </c>
      <c r="E153" s="159">
        <v>4524</v>
      </c>
      <c r="F153" s="159">
        <f>E153*0.2</f>
        <v>904.80000000000007</v>
      </c>
      <c r="G153" s="159"/>
      <c r="H153" s="162">
        <v>30</v>
      </c>
      <c r="I153" s="159">
        <f>(E153+F153+G153)*H153/100</f>
        <v>1628.64</v>
      </c>
      <c r="J153" s="162">
        <v>30</v>
      </c>
      <c r="K153" s="159">
        <f>(E153+F153+G153)*J153/100</f>
        <v>1628.64</v>
      </c>
      <c r="L153" s="159">
        <f>C153*D153*10-22886.4</f>
        <v>672000</v>
      </c>
      <c r="M153" s="66"/>
      <c r="N153" s="66"/>
    </row>
    <row r="154" spans="1:14" ht="15.85" customHeight="1" x14ac:dyDescent="0.2">
      <c r="A154" s="64" t="s">
        <v>411</v>
      </c>
      <c r="B154" s="67" t="s">
        <v>453</v>
      </c>
      <c r="C154" s="111">
        <v>1</v>
      </c>
      <c r="D154" s="159">
        <f t="shared" ref="D154:D162" si="60">E154+F154+G154+I154+K154</f>
        <v>9932.16</v>
      </c>
      <c r="E154" s="159">
        <v>5173</v>
      </c>
      <c r="F154" s="159">
        <f t="shared" ref="F154:F162" si="61">E154*0.2</f>
        <v>1034.6000000000001</v>
      </c>
      <c r="G154" s="159"/>
      <c r="H154" s="162">
        <v>30</v>
      </c>
      <c r="I154" s="159">
        <f t="shared" ref="I154:I162" si="62">(E154+F154+G154)*H154/100</f>
        <v>1862.28</v>
      </c>
      <c r="J154" s="162">
        <v>30</v>
      </c>
      <c r="K154" s="159">
        <f t="shared" ref="K154:K162" si="63">(E154+F154+G154)*J154/100</f>
        <v>1862.28</v>
      </c>
      <c r="L154" s="159">
        <f>C154*D154*9-5389.44</f>
        <v>84000</v>
      </c>
      <c r="M154" s="66"/>
      <c r="N154" s="66"/>
    </row>
    <row r="155" spans="1:14" ht="15.05" customHeight="1" x14ac:dyDescent="0.2">
      <c r="A155" s="64" t="s">
        <v>609</v>
      </c>
      <c r="B155" s="67" t="s">
        <v>611</v>
      </c>
      <c r="C155" s="111">
        <v>0.75</v>
      </c>
      <c r="D155" s="159">
        <f t="shared" si="60"/>
        <v>7480.32</v>
      </c>
      <c r="E155" s="159">
        <v>3896</v>
      </c>
      <c r="F155" s="159">
        <f t="shared" si="61"/>
        <v>779.2</v>
      </c>
      <c r="G155" s="159"/>
      <c r="H155" s="162">
        <v>30</v>
      </c>
      <c r="I155" s="159">
        <f t="shared" si="62"/>
        <v>1402.56</v>
      </c>
      <c r="J155" s="162">
        <v>30</v>
      </c>
      <c r="K155" s="159">
        <f t="shared" si="63"/>
        <v>1402.56</v>
      </c>
      <c r="L155" s="159">
        <f>C155*D155*12-4322.88</f>
        <v>63000.000000000007</v>
      </c>
      <c r="M155" s="66"/>
      <c r="N155" s="66"/>
    </row>
    <row r="156" spans="1:14" ht="13.5" customHeight="1" x14ac:dyDescent="0.2">
      <c r="A156" s="64" t="s">
        <v>424</v>
      </c>
      <c r="B156" s="67" t="s">
        <v>612</v>
      </c>
      <c r="C156" s="111">
        <v>0.75</v>
      </c>
      <c r="D156" s="159">
        <f t="shared" si="60"/>
        <v>6741.12</v>
      </c>
      <c r="E156" s="159">
        <v>3511</v>
      </c>
      <c r="F156" s="159">
        <f t="shared" si="61"/>
        <v>702.2</v>
      </c>
      <c r="G156" s="159"/>
      <c r="H156" s="162">
        <v>30</v>
      </c>
      <c r="I156" s="159">
        <f t="shared" si="62"/>
        <v>1263.96</v>
      </c>
      <c r="J156" s="162">
        <v>30</v>
      </c>
      <c r="K156" s="159">
        <f t="shared" si="63"/>
        <v>1263.96</v>
      </c>
      <c r="L156" s="159">
        <f>C156*D156*12+2329.92</f>
        <v>63000</v>
      </c>
      <c r="M156" s="66"/>
      <c r="N156" s="66"/>
    </row>
    <row r="157" spans="1:14" ht="14.25" customHeight="1" x14ac:dyDescent="0.2">
      <c r="A157" s="64" t="s">
        <v>412</v>
      </c>
      <c r="B157" s="67" t="s">
        <v>613</v>
      </c>
      <c r="C157" s="111">
        <v>2</v>
      </c>
      <c r="D157" s="159">
        <f t="shared" si="60"/>
        <v>9780.48</v>
      </c>
      <c r="E157" s="159">
        <v>5094</v>
      </c>
      <c r="F157" s="159">
        <f t="shared" si="61"/>
        <v>1018.8000000000001</v>
      </c>
      <c r="G157" s="159"/>
      <c r="H157" s="162">
        <v>30</v>
      </c>
      <c r="I157" s="159">
        <f t="shared" si="62"/>
        <v>1833.84</v>
      </c>
      <c r="J157" s="162">
        <v>30</v>
      </c>
      <c r="K157" s="159">
        <f t="shared" si="63"/>
        <v>1833.84</v>
      </c>
      <c r="L157" s="159">
        <f>C157*D157*5-1804.8</f>
        <v>95999.999999999985</v>
      </c>
      <c r="M157" s="66"/>
      <c r="N157" s="66"/>
    </row>
    <row r="158" spans="1:14" ht="27.1" customHeight="1" x14ac:dyDescent="0.2">
      <c r="A158" s="64" t="s">
        <v>641</v>
      </c>
      <c r="B158" s="67" t="s">
        <v>614</v>
      </c>
      <c r="C158" s="111">
        <v>7.5</v>
      </c>
      <c r="D158" s="159">
        <f t="shared" si="60"/>
        <v>14261.76</v>
      </c>
      <c r="E158" s="159">
        <v>7428</v>
      </c>
      <c r="F158" s="159">
        <f t="shared" si="61"/>
        <v>1485.6000000000001</v>
      </c>
      <c r="G158" s="159"/>
      <c r="H158" s="162">
        <v>30</v>
      </c>
      <c r="I158" s="159">
        <f t="shared" si="62"/>
        <v>2674.08</v>
      </c>
      <c r="J158" s="162">
        <v>30</v>
      </c>
      <c r="K158" s="159">
        <f t="shared" si="63"/>
        <v>2674.08</v>
      </c>
      <c r="L158" s="159">
        <f>C158*D158*3+39110.4</f>
        <v>360000</v>
      </c>
      <c r="M158" s="66"/>
      <c r="N158" s="66"/>
    </row>
    <row r="159" spans="1:14" ht="13.15" x14ac:dyDescent="0.2">
      <c r="A159" s="64" t="s">
        <v>416</v>
      </c>
      <c r="B159" s="67" t="s">
        <v>615</v>
      </c>
      <c r="C159" s="111">
        <v>1</v>
      </c>
      <c r="D159" s="159">
        <f t="shared" si="60"/>
        <v>28000.000154879999</v>
      </c>
      <c r="E159" s="159">
        <v>4524</v>
      </c>
      <c r="F159" s="159">
        <f t="shared" si="61"/>
        <v>904.80000000000007</v>
      </c>
      <c r="G159" s="159">
        <f>E159*2.6682582</f>
        <v>12071.200096799999</v>
      </c>
      <c r="H159" s="162">
        <v>30</v>
      </c>
      <c r="I159" s="159">
        <f t="shared" si="62"/>
        <v>5250.0000290400003</v>
      </c>
      <c r="J159" s="162">
        <v>30</v>
      </c>
      <c r="K159" s="159">
        <f t="shared" si="63"/>
        <v>5250.0000290400003</v>
      </c>
      <c r="L159" s="159">
        <f>C159*D159*12</f>
        <v>336000.00185856002</v>
      </c>
      <c r="M159" s="66"/>
      <c r="N159" s="66"/>
    </row>
    <row r="160" spans="1:14" ht="27.1" customHeight="1" x14ac:dyDescent="0.2">
      <c r="A160" s="64" t="s">
        <v>642</v>
      </c>
      <c r="B160" s="67" t="s">
        <v>616</v>
      </c>
      <c r="C160" s="111">
        <v>0.42</v>
      </c>
      <c r="D160" s="159">
        <f t="shared" si="60"/>
        <v>27999.99943104</v>
      </c>
      <c r="E160" s="159">
        <v>4524</v>
      </c>
      <c r="F160" s="159">
        <f t="shared" si="61"/>
        <v>904.80000000000007</v>
      </c>
      <c r="G160" s="159">
        <f>E160*2.6682581</f>
        <v>12071.1996444</v>
      </c>
      <c r="H160" s="162">
        <v>30</v>
      </c>
      <c r="I160" s="159">
        <f t="shared" si="62"/>
        <v>5249.9998933200004</v>
      </c>
      <c r="J160" s="162">
        <v>30</v>
      </c>
      <c r="K160" s="159">
        <f t="shared" si="63"/>
        <v>5249.9998933200004</v>
      </c>
      <c r="L160" s="159">
        <f t="shared" ref="L160:L162" si="64">C160*D160*12</f>
        <v>141119.99713244158</v>
      </c>
      <c r="M160" s="66"/>
      <c r="N160" s="66"/>
    </row>
    <row r="161" spans="1:14" ht="27.7" customHeight="1" x14ac:dyDescent="0.2">
      <c r="A161" s="64" t="s">
        <v>643</v>
      </c>
      <c r="B161" s="67" t="s">
        <v>617</v>
      </c>
      <c r="C161" s="111">
        <v>3</v>
      </c>
      <c r="D161" s="159">
        <f t="shared" si="60"/>
        <v>27999.999902768002</v>
      </c>
      <c r="E161" s="159">
        <v>3511</v>
      </c>
      <c r="F161" s="159">
        <f t="shared" si="61"/>
        <v>702.2</v>
      </c>
      <c r="G161" s="159">
        <f>E161*3.78433493</f>
        <v>13286.799939230001</v>
      </c>
      <c r="H161" s="162">
        <v>30</v>
      </c>
      <c r="I161" s="159">
        <f t="shared" si="62"/>
        <v>5249.9999817690004</v>
      </c>
      <c r="J161" s="162">
        <v>30</v>
      </c>
      <c r="K161" s="159">
        <f t="shared" si="63"/>
        <v>5249.9999817690004</v>
      </c>
      <c r="L161" s="159">
        <f t="shared" si="64"/>
        <v>1007999.9964996481</v>
      </c>
      <c r="M161" s="66"/>
      <c r="N161" s="66"/>
    </row>
    <row r="162" spans="1:14" ht="27.1" customHeight="1" x14ac:dyDescent="0.2">
      <c r="A162" s="64" t="s">
        <v>644</v>
      </c>
      <c r="B162" s="67" t="s">
        <v>618</v>
      </c>
      <c r="C162" s="111">
        <v>0.83</v>
      </c>
      <c r="D162" s="159">
        <f t="shared" si="60"/>
        <v>28000.041119679998</v>
      </c>
      <c r="E162" s="159">
        <v>5267</v>
      </c>
      <c r="F162" s="159">
        <f t="shared" si="61"/>
        <v>1053.4000000000001</v>
      </c>
      <c r="G162" s="159">
        <f>E162*2.1225794</f>
        <v>11179.625699799999</v>
      </c>
      <c r="H162" s="162">
        <v>30</v>
      </c>
      <c r="I162" s="159">
        <f t="shared" si="62"/>
        <v>5250.0077099399987</v>
      </c>
      <c r="J162" s="162">
        <v>30</v>
      </c>
      <c r="K162" s="159">
        <f t="shared" si="63"/>
        <v>5250.0077099399987</v>
      </c>
      <c r="L162" s="159">
        <f t="shared" si="64"/>
        <v>278880.40955201274</v>
      </c>
      <c r="M162" s="66"/>
      <c r="N162" s="66"/>
    </row>
    <row r="163" spans="1:14" ht="13.15" x14ac:dyDescent="0.2">
      <c r="A163" s="162" t="s">
        <v>121</v>
      </c>
      <c r="B163" s="162">
        <v>2110</v>
      </c>
      <c r="C163" s="10">
        <f>SUM(C123:C162)</f>
        <v>56.75</v>
      </c>
      <c r="D163" s="163" t="s">
        <v>1</v>
      </c>
      <c r="E163" s="163" t="s">
        <v>1</v>
      </c>
      <c r="F163" s="163" t="s">
        <v>1</v>
      </c>
      <c r="G163" s="163" t="s">
        <v>1</v>
      </c>
      <c r="H163" s="163" t="s">
        <v>1</v>
      </c>
      <c r="I163" s="163" t="s">
        <v>1</v>
      </c>
      <c r="J163" s="163" t="s">
        <v>1</v>
      </c>
      <c r="K163" s="163" t="s">
        <v>1</v>
      </c>
      <c r="L163" s="155">
        <f>SUM(L123:L162)</f>
        <v>6780775.0002426635</v>
      </c>
      <c r="M163" s="66"/>
      <c r="N163" s="66"/>
    </row>
    <row r="164" spans="1:14" ht="13.15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ht="15.85" customHeight="1" x14ac:dyDescent="0.2">
      <c r="A165" s="278" t="s">
        <v>388</v>
      </c>
      <c r="B165" s="278"/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</row>
    <row r="166" spans="1:14" ht="13.15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</row>
    <row r="167" spans="1:14" ht="20.2" customHeight="1" x14ac:dyDescent="0.2">
      <c r="A167" s="273" t="s">
        <v>468</v>
      </c>
      <c r="B167" s="273"/>
      <c r="C167" s="273"/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</row>
    <row r="168" spans="1:14" ht="14.25" customHeight="1" x14ac:dyDescent="0.25">
      <c r="A168" s="247" t="s">
        <v>10</v>
      </c>
      <c r="B168" s="248" t="s">
        <v>11</v>
      </c>
      <c r="C168" s="247" t="s">
        <v>81</v>
      </c>
      <c r="D168" s="247"/>
      <c r="E168" s="247"/>
      <c r="F168" s="23"/>
      <c r="G168" s="23"/>
      <c r="H168" s="23"/>
      <c r="I168" s="23"/>
      <c r="J168" s="23"/>
      <c r="K168" s="23"/>
      <c r="L168" s="23"/>
      <c r="M168" s="23"/>
      <c r="N168" s="23"/>
    </row>
    <row r="169" spans="1:14" ht="15.05" customHeight="1" x14ac:dyDescent="0.25">
      <c r="A169" s="247"/>
      <c r="B169" s="248"/>
      <c r="C169" s="150" t="s">
        <v>9</v>
      </c>
      <c r="D169" s="150" t="s">
        <v>571</v>
      </c>
      <c r="E169" s="150" t="s">
        <v>630</v>
      </c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ht="39.450000000000003" x14ac:dyDescent="0.25">
      <c r="A170" s="247"/>
      <c r="B170" s="248"/>
      <c r="C170" s="46" t="s">
        <v>82</v>
      </c>
      <c r="D170" s="46" t="s">
        <v>83</v>
      </c>
      <c r="E170" s="46" t="s">
        <v>84</v>
      </c>
      <c r="F170" s="23"/>
      <c r="G170" s="23"/>
      <c r="H170" s="23"/>
      <c r="I170" s="23"/>
      <c r="J170" s="23"/>
      <c r="K170" s="23"/>
      <c r="L170" s="23"/>
      <c r="M170" s="23"/>
      <c r="N170" s="23"/>
    </row>
    <row r="171" spans="1:14" ht="13.15" x14ac:dyDescent="0.25">
      <c r="A171" s="47" t="s">
        <v>19</v>
      </c>
      <c r="B171" s="47" t="s">
        <v>20</v>
      </c>
      <c r="C171" s="47" t="s">
        <v>21</v>
      </c>
      <c r="D171" s="47" t="s">
        <v>22</v>
      </c>
      <c r="E171" s="47" t="s">
        <v>23</v>
      </c>
      <c r="F171" s="23"/>
      <c r="G171" s="23"/>
      <c r="H171" s="23"/>
      <c r="I171" s="23"/>
      <c r="J171" s="23"/>
      <c r="K171" s="23"/>
      <c r="L171" s="23"/>
      <c r="M171" s="23"/>
      <c r="N171" s="23"/>
    </row>
    <row r="172" spans="1:14" ht="26.3" hidden="1" x14ac:dyDescent="0.25">
      <c r="A172" s="15" t="s">
        <v>173</v>
      </c>
      <c r="B172" s="95" t="s">
        <v>86</v>
      </c>
      <c r="C172" s="45">
        <v>0</v>
      </c>
      <c r="D172" s="45">
        <v>0</v>
      </c>
      <c r="E172" s="45">
        <v>0</v>
      </c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ht="40.549999999999997" hidden="1" customHeight="1" x14ac:dyDescent="0.25">
      <c r="A173" s="15" t="s">
        <v>174</v>
      </c>
      <c r="B173" s="95" t="s">
        <v>88</v>
      </c>
      <c r="C173" s="45">
        <v>0</v>
      </c>
      <c r="D173" s="45">
        <v>0</v>
      </c>
      <c r="E173" s="45">
        <v>0</v>
      </c>
      <c r="F173" s="23"/>
      <c r="G173" s="23"/>
      <c r="H173" s="23"/>
      <c r="I173" s="23"/>
      <c r="J173" s="23"/>
      <c r="K173" s="23"/>
      <c r="L173" s="23"/>
      <c r="M173" s="23"/>
      <c r="N173" s="23"/>
    </row>
    <row r="174" spans="1:14" ht="27.1" customHeight="1" x14ac:dyDescent="0.25">
      <c r="A174" s="15" t="s">
        <v>175</v>
      </c>
      <c r="B174" s="95" t="s">
        <v>90</v>
      </c>
      <c r="C174" s="45">
        <f>F197</f>
        <v>2053219.0000734786</v>
      </c>
      <c r="D174" s="45">
        <f>G197</f>
        <v>2053219.0000734786</v>
      </c>
      <c r="E174" s="45">
        <f>H197</f>
        <v>2053219.0000734786</v>
      </c>
      <c r="F174" s="23"/>
      <c r="G174" s="23"/>
      <c r="H174" s="23"/>
      <c r="I174" s="23"/>
      <c r="J174" s="23"/>
      <c r="K174" s="23"/>
      <c r="L174" s="23"/>
      <c r="M174" s="23"/>
      <c r="N174" s="23"/>
    </row>
    <row r="175" spans="1:14" ht="40.549999999999997" hidden="1" customHeight="1" x14ac:dyDescent="0.25">
      <c r="A175" s="15" t="s">
        <v>176</v>
      </c>
      <c r="B175" s="95" t="s">
        <v>108</v>
      </c>
      <c r="C175" s="45">
        <v>0</v>
      </c>
      <c r="D175" s="45">
        <v>0</v>
      </c>
      <c r="E175" s="45">
        <v>0</v>
      </c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40.549999999999997" hidden="1" customHeight="1" x14ac:dyDescent="0.25">
      <c r="A176" s="15" t="s">
        <v>177</v>
      </c>
      <c r="B176" s="95" t="s">
        <v>110</v>
      </c>
      <c r="C176" s="45">
        <v>0</v>
      </c>
      <c r="D176" s="45">
        <v>0</v>
      </c>
      <c r="E176" s="45">
        <v>0</v>
      </c>
      <c r="F176" s="23"/>
      <c r="G176" s="23"/>
      <c r="H176" s="23"/>
      <c r="I176" s="23"/>
      <c r="J176" s="23"/>
      <c r="K176" s="23"/>
      <c r="L176" s="23"/>
      <c r="M176" s="23"/>
      <c r="N176" s="23"/>
    </row>
    <row r="177" spans="1:14" ht="39.450000000000003" x14ac:dyDescent="0.25">
      <c r="A177" s="15" t="s">
        <v>178</v>
      </c>
      <c r="B177" s="95" t="s">
        <v>112</v>
      </c>
      <c r="C177" s="55">
        <f>C174</f>
        <v>2053219.0000734786</v>
      </c>
      <c r="D177" s="55">
        <f t="shared" ref="D177:E177" si="65">D174</f>
        <v>2053219.0000734786</v>
      </c>
      <c r="E177" s="55">
        <f t="shared" si="65"/>
        <v>2053219.0000734786</v>
      </c>
      <c r="F177" s="23"/>
      <c r="G177" s="23"/>
      <c r="H177" s="23"/>
      <c r="I177" s="23"/>
      <c r="J177" s="23"/>
      <c r="K177" s="23"/>
      <c r="L177" s="23"/>
      <c r="M177" s="23"/>
      <c r="N177" s="23"/>
    </row>
    <row r="178" spans="1:14" ht="13.15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18" customHeight="1" x14ac:dyDescent="0.25">
      <c r="A179" s="272" t="s">
        <v>467</v>
      </c>
      <c r="B179" s="272"/>
      <c r="C179" s="272"/>
      <c r="D179" s="272"/>
      <c r="E179" s="272"/>
      <c r="F179" s="272"/>
      <c r="G179" s="272"/>
      <c r="H179" s="272"/>
      <c r="I179" s="272"/>
      <c r="J179" s="272"/>
      <c r="K179" s="272"/>
      <c r="L179" s="23"/>
      <c r="M179" s="23"/>
      <c r="N179" s="23"/>
    </row>
    <row r="180" spans="1:14" ht="13.15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</row>
    <row r="181" spans="1:14" ht="27.7" customHeight="1" x14ac:dyDescent="0.25">
      <c r="A181" s="245" t="s">
        <v>179</v>
      </c>
      <c r="B181" s="248" t="s">
        <v>11</v>
      </c>
      <c r="C181" s="248" t="s">
        <v>180</v>
      </c>
      <c r="D181" s="248"/>
      <c r="E181" s="248"/>
      <c r="F181" s="261" t="s">
        <v>181</v>
      </c>
      <c r="G181" s="261"/>
      <c r="H181" s="261"/>
      <c r="I181" s="23"/>
      <c r="J181" s="23"/>
      <c r="K181" s="23"/>
      <c r="L181" s="23"/>
      <c r="M181" s="23"/>
      <c r="N181" s="23"/>
    </row>
    <row r="182" spans="1:14" ht="15.85" customHeight="1" x14ac:dyDescent="0.25">
      <c r="A182" s="245"/>
      <c r="B182" s="248"/>
      <c r="C182" s="150" t="s">
        <v>9</v>
      </c>
      <c r="D182" s="150" t="s">
        <v>571</v>
      </c>
      <c r="E182" s="150" t="s">
        <v>630</v>
      </c>
      <c r="F182" s="150" t="s">
        <v>9</v>
      </c>
      <c r="G182" s="150" t="s">
        <v>571</v>
      </c>
      <c r="H182" s="150" t="s">
        <v>630</v>
      </c>
      <c r="I182" s="23"/>
      <c r="J182" s="23"/>
      <c r="K182" s="23"/>
      <c r="L182" s="23"/>
      <c r="M182" s="23"/>
      <c r="N182" s="23"/>
    </row>
    <row r="183" spans="1:14" ht="39" customHeight="1" x14ac:dyDescent="0.25">
      <c r="A183" s="245"/>
      <c r="B183" s="248"/>
      <c r="C183" s="46" t="s">
        <v>82</v>
      </c>
      <c r="D183" s="46" t="s">
        <v>83</v>
      </c>
      <c r="E183" s="46" t="s">
        <v>84</v>
      </c>
      <c r="F183" s="46" t="s">
        <v>82</v>
      </c>
      <c r="G183" s="46" t="s">
        <v>83</v>
      </c>
      <c r="H183" s="46" t="s">
        <v>84</v>
      </c>
      <c r="I183" s="23"/>
      <c r="J183" s="23"/>
      <c r="K183" s="23"/>
      <c r="L183" s="23"/>
      <c r="M183" s="23"/>
      <c r="N183" s="23"/>
    </row>
    <row r="184" spans="1:14" ht="13.15" x14ac:dyDescent="0.25">
      <c r="A184" s="47" t="s">
        <v>19</v>
      </c>
      <c r="B184" s="47" t="s">
        <v>20</v>
      </c>
      <c r="C184" s="47" t="s">
        <v>21</v>
      </c>
      <c r="D184" s="47" t="s">
        <v>22</v>
      </c>
      <c r="E184" s="47" t="s">
        <v>23</v>
      </c>
      <c r="F184" s="47" t="s">
        <v>24</v>
      </c>
      <c r="G184" s="47" t="s">
        <v>25</v>
      </c>
      <c r="H184" s="47" t="s">
        <v>26</v>
      </c>
      <c r="I184" s="23"/>
      <c r="J184" s="23"/>
      <c r="K184" s="23"/>
      <c r="L184" s="23"/>
      <c r="M184" s="23"/>
      <c r="N184" s="23"/>
    </row>
    <row r="185" spans="1:14" ht="27.1" customHeight="1" x14ac:dyDescent="0.25">
      <c r="A185" s="5" t="s">
        <v>182</v>
      </c>
      <c r="B185" s="47" t="s">
        <v>86</v>
      </c>
      <c r="C185" s="45">
        <v>0</v>
      </c>
      <c r="D185" s="45"/>
      <c r="E185" s="45"/>
      <c r="F185" s="45">
        <f>SUM(F186:F187)</f>
        <v>1491770.500053386</v>
      </c>
      <c r="G185" s="45">
        <f t="shared" ref="G185:H185" si="66">SUM(G186:G187)</f>
        <v>1491770.500053386</v>
      </c>
      <c r="H185" s="45">
        <f t="shared" si="66"/>
        <v>1491770.500053386</v>
      </c>
      <c r="I185" s="23"/>
      <c r="J185" s="23"/>
      <c r="K185" s="23"/>
      <c r="L185" s="23"/>
      <c r="M185" s="23"/>
      <c r="N185" s="23"/>
    </row>
    <row r="186" spans="1:14" ht="15.05" customHeight="1" x14ac:dyDescent="0.25">
      <c r="A186" s="5" t="s">
        <v>183</v>
      </c>
      <c r="B186" s="47" t="s">
        <v>184</v>
      </c>
      <c r="C186" s="45">
        <f>L65</f>
        <v>6780775.0002426635</v>
      </c>
      <c r="D186" s="45">
        <f>L114</f>
        <v>6780775.0002426635</v>
      </c>
      <c r="E186" s="45">
        <f>L163</f>
        <v>6780775.0002426635</v>
      </c>
      <c r="F186" s="45">
        <f>C186*22%</f>
        <v>1491770.500053386</v>
      </c>
      <c r="G186" s="45">
        <f t="shared" ref="G186:H186" si="67">D186*22%</f>
        <v>1491770.500053386</v>
      </c>
      <c r="H186" s="45">
        <f t="shared" si="67"/>
        <v>1491770.500053386</v>
      </c>
      <c r="I186" s="23"/>
      <c r="J186" s="23"/>
      <c r="K186" s="23"/>
      <c r="L186" s="23"/>
      <c r="M186" s="23"/>
      <c r="N186" s="23"/>
    </row>
    <row r="187" spans="1:14" ht="15.85" customHeight="1" x14ac:dyDescent="0.25">
      <c r="A187" s="2" t="s">
        <v>185</v>
      </c>
      <c r="B187" s="50" t="s">
        <v>186</v>
      </c>
      <c r="C187" s="45">
        <f>L67</f>
        <v>0</v>
      </c>
      <c r="D187" s="45">
        <v>0</v>
      </c>
      <c r="E187" s="45">
        <v>0</v>
      </c>
      <c r="F187" s="45">
        <f>C187*0.1</f>
        <v>0</v>
      </c>
      <c r="G187" s="45">
        <v>0</v>
      </c>
      <c r="H187" s="45">
        <v>0</v>
      </c>
      <c r="I187" s="23"/>
      <c r="J187" s="23"/>
      <c r="K187" s="23"/>
      <c r="L187" s="23"/>
      <c r="M187" s="23"/>
      <c r="N187" s="23"/>
    </row>
    <row r="188" spans="1:14" ht="52.6" hidden="1" x14ac:dyDescent="0.25">
      <c r="A188" s="5" t="s">
        <v>187</v>
      </c>
      <c r="B188" s="49" t="s">
        <v>188</v>
      </c>
      <c r="C188" s="45">
        <f>L68</f>
        <v>0</v>
      </c>
      <c r="D188" s="45">
        <v>0</v>
      </c>
      <c r="E188" s="45">
        <v>0</v>
      </c>
      <c r="F188" s="45">
        <v>0</v>
      </c>
      <c r="G188" s="45">
        <v>0</v>
      </c>
      <c r="H188" s="45">
        <v>0</v>
      </c>
      <c r="I188" s="23"/>
      <c r="J188" s="23"/>
      <c r="K188" s="23"/>
      <c r="L188" s="23"/>
      <c r="M188" s="23"/>
      <c r="N188" s="23"/>
    </row>
    <row r="189" spans="1:14" ht="29.3" customHeight="1" x14ac:dyDescent="0.25">
      <c r="A189" s="5" t="s">
        <v>189</v>
      </c>
      <c r="B189" s="47" t="s">
        <v>88</v>
      </c>
      <c r="C189" s="45">
        <v>0</v>
      </c>
      <c r="D189" s="45">
        <v>0</v>
      </c>
      <c r="E189" s="45">
        <v>0</v>
      </c>
      <c r="F189" s="45">
        <f>SUM(F190:F192)</f>
        <v>215628.6450077167</v>
      </c>
      <c r="G189" s="45">
        <f t="shared" ref="G189:H189" si="68">SUM(G190:G192)</f>
        <v>215628.6450077167</v>
      </c>
      <c r="H189" s="45">
        <f t="shared" si="68"/>
        <v>215628.6450077167</v>
      </c>
      <c r="I189" s="23"/>
      <c r="J189" s="23"/>
      <c r="K189" s="23"/>
      <c r="L189" s="23"/>
      <c r="M189" s="23"/>
      <c r="N189" s="23"/>
    </row>
    <row r="190" spans="1:14" ht="53.25" customHeight="1" x14ac:dyDescent="0.25">
      <c r="A190" s="5" t="s">
        <v>190</v>
      </c>
      <c r="B190" s="49" t="s">
        <v>191</v>
      </c>
      <c r="C190" s="45">
        <f>L65</f>
        <v>6780775.0002426635</v>
      </c>
      <c r="D190" s="45">
        <f>D186</f>
        <v>6780775.0002426635</v>
      </c>
      <c r="E190" s="45">
        <f>E186</f>
        <v>6780775.0002426635</v>
      </c>
      <c r="F190" s="45">
        <f>C190*2.9%</f>
        <v>196642.47500703722</v>
      </c>
      <c r="G190" s="45">
        <f t="shared" ref="G190:H190" si="69">D190*2.9%</f>
        <v>196642.47500703722</v>
      </c>
      <c r="H190" s="45">
        <f t="shared" si="69"/>
        <v>196642.47500703722</v>
      </c>
      <c r="I190" s="23"/>
      <c r="J190" s="23"/>
      <c r="K190" s="23"/>
      <c r="L190" s="23"/>
      <c r="M190" s="23"/>
      <c r="N190" s="23"/>
    </row>
    <row r="191" spans="1:14" ht="41.95" hidden="1" customHeight="1" x14ac:dyDescent="0.25">
      <c r="A191" s="5" t="s">
        <v>192</v>
      </c>
      <c r="B191" s="49" t="s">
        <v>193</v>
      </c>
      <c r="C191" s="45">
        <f>L88</f>
        <v>106500</v>
      </c>
      <c r="D191" s="45">
        <v>0</v>
      </c>
      <c r="E191" s="45">
        <v>0</v>
      </c>
      <c r="F191" s="45">
        <v>0</v>
      </c>
      <c r="G191" s="45">
        <v>0</v>
      </c>
      <c r="H191" s="45">
        <v>0</v>
      </c>
      <c r="I191" s="23"/>
      <c r="J191" s="23"/>
      <c r="K191" s="23"/>
      <c r="L191" s="23"/>
      <c r="M191" s="23"/>
      <c r="N191" s="23"/>
    </row>
    <row r="192" spans="1:14" ht="53.25" customHeight="1" x14ac:dyDescent="0.25">
      <c r="A192" s="5" t="s">
        <v>389</v>
      </c>
      <c r="B192" s="49" t="s">
        <v>194</v>
      </c>
      <c r="C192" s="45">
        <f>L65</f>
        <v>6780775.0002426635</v>
      </c>
      <c r="D192" s="45">
        <f>D186</f>
        <v>6780775.0002426635</v>
      </c>
      <c r="E192" s="45">
        <f>E186</f>
        <v>6780775.0002426635</v>
      </c>
      <c r="F192" s="45">
        <f>C192*0.28%</f>
        <v>18986.17000067946</v>
      </c>
      <c r="G192" s="45">
        <f t="shared" ref="G192:H192" si="70">D192*0.28%</f>
        <v>18986.17000067946</v>
      </c>
      <c r="H192" s="45">
        <f t="shared" si="70"/>
        <v>18986.17000067946</v>
      </c>
      <c r="I192" s="23"/>
      <c r="J192" s="23"/>
      <c r="K192" s="23"/>
      <c r="L192" s="23"/>
      <c r="M192" s="23"/>
      <c r="N192" s="23"/>
    </row>
    <row r="193" spans="1:14" ht="52.45" hidden="1" customHeight="1" x14ac:dyDescent="0.25">
      <c r="A193" s="6" t="s">
        <v>195</v>
      </c>
      <c r="B193" s="49" t="s">
        <v>196</v>
      </c>
      <c r="C193" s="45">
        <v>0</v>
      </c>
      <c r="D193" s="45">
        <v>0</v>
      </c>
      <c r="E193" s="45">
        <v>0</v>
      </c>
      <c r="F193" s="45">
        <v>0</v>
      </c>
      <c r="G193" s="45">
        <v>0</v>
      </c>
      <c r="H193" s="45">
        <v>0</v>
      </c>
      <c r="I193" s="23"/>
      <c r="J193" s="23"/>
      <c r="K193" s="23"/>
      <c r="L193" s="23"/>
      <c r="M193" s="23"/>
      <c r="N193" s="23"/>
    </row>
    <row r="194" spans="1:14" ht="52.6" hidden="1" x14ac:dyDescent="0.25">
      <c r="A194" s="6" t="s">
        <v>195</v>
      </c>
      <c r="B194" s="14"/>
      <c r="C194" s="45">
        <v>0</v>
      </c>
      <c r="D194" s="45">
        <v>0</v>
      </c>
      <c r="E194" s="45">
        <v>0</v>
      </c>
      <c r="F194" s="45">
        <v>0</v>
      </c>
      <c r="G194" s="45">
        <v>0</v>
      </c>
      <c r="H194" s="45">
        <v>0</v>
      </c>
      <c r="I194" s="23"/>
      <c r="J194" s="23"/>
      <c r="K194" s="23"/>
      <c r="L194" s="23"/>
      <c r="M194" s="23"/>
      <c r="N194" s="23"/>
    </row>
    <row r="195" spans="1:14" ht="42.75" hidden="1" customHeight="1" x14ac:dyDescent="0.25">
      <c r="A195" s="5" t="s">
        <v>197</v>
      </c>
      <c r="B195" s="49" t="s">
        <v>90</v>
      </c>
      <c r="C195" s="45">
        <v>0</v>
      </c>
      <c r="D195" s="45">
        <v>0</v>
      </c>
      <c r="E195" s="45">
        <v>0</v>
      </c>
      <c r="F195" s="45">
        <v>0</v>
      </c>
      <c r="G195" s="45">
        <v>0</v>
      </c>
      <c r="H195" s="45">
        <v>0</v>
      </c>
      <c r="I195" s="23"/>
      <c r="J195" s="23"/>
      <c r="K195" s="23"/>
      <c r="L195" s="23"/>
      <c r="M195" s="23"/>
      <c r="N195" s="23"/>
    </row>
    <row r="196" spans="1:14" ht="39.450000000000003" x14ac:dyDescent="0.25">
      <c r="A196" s="5" t="s">
        <v>198</v>
      </c>
      <c r="B196" s="49" t="s">
        <v>91</v>
      </c>
      <c r="C196" s="45">
        <f>L65</f>
        <v>6780775.0002426635</v>
      </c>
      <c r="D196" s="45">
        <f>D186</f>
        <v>6780775.0002426635</v>
      </c>
      <c r="E196" s="45">
        <f>E186</f>
        <v>6780775.0002426635</v>
      </c>
      <c r="F196" s="45">
        <f>C196*5.1%</f>
        <v>345819.52501237585</v>
      </c>
      <c r="G196" s="45">
        <f t="shared" ref="G196:H196" si="71">D196*5.1%</f>
        <v>345819.52501237585</v>
      </c>
      <c r="H196" s="45">
        <f t="shared" si="71"/>
        <v>345819.52501237585</v>
      </c>
      <c r="I196" s="23"/>
      <c r="J196" s="23"/>
      <c r="K196" s="23"/>
      <c r="L196" s="23"/>
      <c r="M196" s="23"/>
      <c r="N196" s="23"/>
    </row>
    <row r="197" spans="1:14" ht="15.05" customHeight="1" x14ac:dyDescent="0.25">
      <c r="A197" s="2" t="s">
        <v>121</v>
      </c>
      <c r="B197" s="47">
        <v>2141</v>
      </c>
      <c r="C197" s="45" t="s">
        <v>1</v>
      </c>
      <c r="D197" s="45" t="s">
        <v>1</v>
      </c>
      <c r="E197" s="45" t="s">
        <v>1</v>
      </c>
      <c r="F197" s="55">
        <f>F185+F189+F196+0.33</f>
        <v>2053219.0000734786</v>
      </c>
      <c r="G197" s="160">
        <f t="shared" ref="G197:H197" si="72">G185+G189+G196+0.33</f>
        <v>2053219.0000734786</v>
      </c>
      <c r="H197" s="160">
        <f t="shared" si="72"/>
        <v>2053219.0000734786</v>
      </c>
      <c r="I197" s="23"/>
      <c r="J197" s="107"/>
      <c r="K197" s="23"/>
      <c r="L197" s="23"/>
      <c r="M197" s="23"/>
      <c r="N197" s="23"/>
    </row>
    <row r="198" spans="1:14" ht="28.5" customHeight="1" x14ac:dyDescent="0.25">
      <c r="A198" s="275" t="s">
        <v>390</v>
      </c>
      <c r="B198" s="275"/>
      <c r="C198" s="275"/>
      <c r="D198" s="275"/>
      <c r="E198" s="275"/>
      <c r="F198" s="275"/>
      <c r="G198" s="275"/>
      <c r="H198" s="275"/>
      <c r="I198" s="275"/>
      <c r="J198" s="275"/>
      <c r="K198" s="275"/>
      <c r="L198" s="23"/>
      <c r="M198" s="23"/>
      <c r="N198" s="23"/>
    </row>
    <row r="199" spans="1:14" ht="13.15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</row>
    <row r="200" spans="1:14" ht="15.05" customHeight="1" x14ac:dyDescent="0.25">
      <c r="A200" s="272" t="s">
        <v>391</v>
      </c>
      <c r="B200" s="272"/>
      <c r="C200" s="272"/>
      <c r="D200" s="272"/>
      <c r="E200" s="272"/>
      <c r="F200" s="272"/>
      <c r="G200" s="272"/>
      <c r="H200" s="272"/>
      <c r="I200" s="272"/>
      <c r="J200" s="272"/>
      <c r="K200" s="272"/>
      <c r="L200" s="23"/>
      <c r="M200" s="23"/>
      <c r="N200" s="23"/>
    </row>
    <row r="201" spans="1:14" ht="13.15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</row>
    <row r="202" spans="1:14" ht="14.25" customHeight="1" x14ac:dyDescent="0.25">
      <c r="A202" s="278" t="s">
        <v>466</v>
      </c>
      <c r="B202" s="278"/>
      <c r="C202" s="278"/>
      <c r="D202" s="278"/>
      <c r="E202" s="278"/>
      <c r="F202" s="278"/>
      <c r="G202" s="278"/>
      <c r="H202" s="278"/>
      <c r="I202" s="278"/>
      <c r="J202" s="278"/>
      <c r="K202" s="278"/>
      <c r="L202" s="23"/>
      <c r="M202" s="23"/>
      <c r="N202" s="23"/>
    </row>
    <row r="203" spans="1:14" ht="13.15" hidden="1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</row>
    <row r="204" spans="1:14" ht="27.1" hidden="1" customHeight="1" x14ac:dyDescent="0.2">
      <c r="A204" s="245" t="s">
        <v>199</v>
      </c>
      <c r="B204" s="248" t="s">
        <v>11</v>
      </c>
      <c r="C204" s="248" t="s">
        <v>200</v>
      </c>
      <c r="D204" s="248"/>
      <c r="E204" s="248"/>
      <c r="F204" s="261" t="s">
        <v>201</v>
      </c>
      <c r="G204" s="261"/>
      <c r="H204" s="261"/>
      <c r="I204" s="261" t="s">
        <v>202</v>
      </c>
      <c r="J204" s="261"/>
      <c r="K204" s="261"/>
      <c r="L204" s="261" t="s">
        <v>81</v>
      </c>
      <c r="M204" s="261"/>
      <c r="N204" s="261"/>
    </row>
    <row r="205" spans="1:14" ht="13.15" hidden="1" x14ac:dyDescent="0.2">
      <c r="A205" s="245"/>
      <c r="B205" s="248"/>
      <c r="C205" s="150" t="s">
        <v>9</v>
      </c>
      <c r="D205" s="150" t="s">
        <v>571</v>
      </c>
      <c r="E205" s="150" t="s">
        <v>630</v>
      </c>
      <c r="F205" s="150" t="s">
        <v>9</v>
      </c>
      <c r="G205" s="150" t="s">
        <v>571</v>
      </c>
      <c r="H205" s="150" t="s">
        <v>630</v>
      </c>
      <c r="I205" s="150" t="s">
        <v>9</v>
      </c>
      <c r="J205" s="150" t="s">
        <v>571</v>
      </c>
      <c r="K205" s="150" t="s">
        <v>630</v>
      </c>
      <c r="L205" s="150" t="s">
        <v>9</v>
      </c>
      <c r="M205" s="150" t="s">
        <v>571</v>
      </c>
      <c r="N205" s="150" t="s">
        <v>630</v>
      </c>
    </row>
    <row r="206" spans="1:14" ht="54" hidden="1" customHeight="1" x14ac:dyDescent="0.2">
      <c r="A206" s="245"/>
      <c r="B206" s="248"/>
      <c r="C206" s="46" t="s">
        <v>82</v>
      </c>
      <c r="D206" s="46" t="s">
        <v>83</v>
      </c>
      <c r="E206" s="46" t="s">
        <v>84</v>
      </c>
      <c r="F206" s="46" t="s">
        <v>82</v>
      </c>
      <c r="G206" s="46" t="s">
        <v>83</v>
      </c>
      <c r="H206" s="46" t="s">
        <v>84</v>
      </c>
      <c r="I206" s="46" t="s">
        <v>82</v>
      </c>
      <c r="J206" s="46" t="s">
        <v>83</v>
      </c>
      <c r="K206" s="46" t="s">
        <v>84</v>
      </c>
      <c r="L206" s="46" t="s">
        <v>82</v>
      </c>
      <c r="M206" s="46" t="s">
        <v>83</v>
      </c>
      <c r="N206" s="46" t="s">
        <v>84</v>
      </c>
    </row>
    <row r="207" spans="1:14" ht="13.15" hidden="1" x14ac:dyDescent="0.2">
      <c r="A207" s="47" t="s">
        <v>19</v>
      </c>
      <c r="B207" s="47" t="s">
        <v>20</v>
      </c>
      <c r="C207" s="47" t="s">
        <v>21</v>
      </c>
      <c r="D207" s="47" t="s">
        <v>22</v>
      </c>
      <c r="E207" s="47" t="s">
        <v>23</v>
      </c>
      <c r="F207" s="47" t="s">
        <v>24</v>
      </c>
      <c r="G207" s="47" t="s">
        <v>25</v>
      </c>
      <c r="H207" s="47" t="s">
        <v>26</v>
      </c>
      <c r="I207" s="47" t="s">
        <v>27</v>
      </c>
      <c r="J207" s="47" t="s">
        <v>28</v>
      </c>
      <c r="K207" s="47" t="s">
        <v>29</v>
      </c>
      <c r="L207" s="47" t="s">
        <v>172</v>
      </c>
      <c r="M207" s="47" t="s">
        <v>203</v>
      </c>
      <c r="N207" s="47" t="s">
        <v>204</v>
      </c>
    </row>
    <row r="208" spans="1:14" ht="26.3" hidden="1" customHeight="1" x14ac:dyDescent="0.2">
      <c r="A208" s="15" t="s">
        <v>539</v>
      </c>
      <c r="B208" s="47" t="s">
        <v>31</v>
      </c>
      <c r="C208" s="45"/>
      <c r="D208" s="45"/>
      <c r="E208" s="45"/>
      <c r="F208" s="47"/>
      <c r="G208" s="47"/>
      <c r="H208" s="47"/>
      <c r="I208" s="47"/>
      <c r="J208" s="47"/>
      <c r="K208" s="47"/>
      <c r="L208" s="45"/>
      <c r="M208" s="45"/>
      <c r="N208" s="45"/>
    </row>
    <row r="209" spans="1:14" ht="27.7" hidden="1" customHeight="1" x14ac:dyDescent="0.2">
      <c r="A209" s="88" t="s">
        <v>540</v>
      </c>
      <c r="B209" s="47" t="s">
        <v>33</v>
      </c>
      <c r="C209" s="45"/>
      <c r="D209" s="69"/>
      <c r="E209" s="69"/>
      <c r="F209" s="47"/>
      <c r="G209" s="70"/>
      <c r="H209" s="70"/>
      <c r="I209" s="47"/>
      <c r="J209" s="70"/>
      <c r="K209" s="70"/>
      <c r="L209" s="69"/>
      <c r="M209" s="69"/>
      <c r="N209" s="69"/>
    </row>
    <row r="210" spans="1:14" ht="13.15" hidden="1" x14ac:dyDescent="0.2">
      <c r="A210" s="47" t="s">
        <v>121</v>
      </c>
      <c r="B210" s="47">
        <v>2120</v>
      </c>
      <c r="C210" s="47" t="s">
        <v>1</v>
      </c>
      <c r="D210" s="47" t="s">
        <v>1</v>
      </c>
      <c r="E210" s="47" t="s">
        <v>1</v>
      </c>
      <c r="F210" s="47" t="s">
        <v>1</v>
      </c>
      <c r="G210" s="47" t="s">
        <v>1</v>
      </c>
      <c r="H210" s="47" t="s">
        <v>1</v>
      </c>
      <c r="I210" s="47" t="s">
        <v>1</v>
      </c>
      <c r="J210" s="47" t="s">
        <v>1</v>
      </c>
      <c r="K210" s="47" t="s">
        <v>1</v>
      </c>
      <c r="L210" s="68">
        <f>SUM(L208:L209)</f>
        <v>0</v>
      </c>
      <c r="M210" s="68">
        <f>SUM(M208:M209)</f>
        <v>0</v>
      </c>
      <c r="N210" s="68">
        <f>SUM(N208:N209)</f>
        <v>0</v>
      </c>
    </row>
    <row r="211" spans="1:14" ht="13.15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</row>
    <row r="212" spans="1:14" ht="13.15" x14ac:dyDescent="0.25">
      <c r="A212" s="39" t="s">
        <v>205</v>
      </c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1:14" ht="13.15" hidden="1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</row>
    <row r="214" spans="1:14" ht="30.7" hidden="1" customHeight="1" x14ac:dyDescent="0.2">
      <c r="A214" s="245" t="s">
        <v>199</v>
      </c>
      <c r="B214" s="248" t="s">
        <v>11</v>
      </c>
      <c r="C214" s="248" t="s">
        <v>206</v>
      </c>
      <c r="D214" s="248"/>
      <c r="E214" s="248"/>
      <c r="F214" s="248" t="s">
        <v>207</v>
      </c>
      <c r="G214" s="248"/>
      <c r="H214" s="248"/>
      <c r="I214" s="248" t="s">
        <v>208</v>
      </c>
      <c r="J214" s="248"/>
      <c r="K214" s="248"/>
      <c r="L214" s="261" t="s">
        <v>81</v>
      </c>
      <c r="M214" s="261"/>
      <c r="N214" s="261"/>
    </row>
    <row r="215" spans="1:14" ht="17.25" hidden="1" customHeight="1" x14ac:dyDescent="0.2">
      <c r="A215" s="245"/>
      <c r="B215" s="248"/>
      <c r="C215" s="49" t="s">
        <v>7</v>
      </c>
      <c r="D215" s="49" t="s">
        <v>8</v>
      </c>
      <c r="E215" s="49" t="s">
        <v>9</v>
      </c>
      <c r="F215" s="49" t="s">
        <v>7</v>
      </c>
      <c r="G215" s="49" t="s">
        <v>8</v>
      </c>
      <c r="H215" s="49" t="s">
        <v>9</v>
      </c>
      <c r="I215" s="49" t="s">
        <v>7</v>
      </c>
      <c r="J215" s="49" t="s">
        <v>8</v>
      </c>
      <c r="K215" s="49" t="s">
        <v>9</v>
      </c>
      <c r="L215" s="49" t="s">
        <v>7</v>
      </c>
      <c r="M215" s="49" t="s">
        <v>8</v>
      </c>
      <c r="N215" s="49" t="s">
        <v>9</v>
      </c>
    </row>
    <row r="216" spans="1:14" ht="52.6" hidden="1" x14ac:dyDescent="0.2">
      <c r="A216" s="245"/>
      <c r="B216" s="248"/>
      <c r="C216" s="46" t="s">
        <v>82</v>
      </c>
      <c r="D216" s="46" t="s">
        <v>83</v>
      </c>
      <c r="E216" s="46" t="s">
        <v>84</v>
      </c>
      <c r="F216" s="46" t="s">
        <v>82</v>
      </c>
      <c r="G216" s="46" t="s">
        <v>83</v>
      </c>
      <c r="H216" s="46" t="s">
        <v>84</v>
      </c>
      <c r="I216" s="46" t="s">
        <v>82</v>
      </c>
      <c r="J216" s="46" t="s">
        <v>83</v>
      </c>
      <c r="K216" s="46" t="s">
        <v>84</v>
      </c>
      <c r="L216" s="46" t="s">
        <v>82</v>
      </c>
      <c r="M216" s="46" t="s">
        <v>83</v>
      </c>
      <c r="N216" s="46" t="s">
        <v>84</v>
      </c>
    </row>
    <row r="217" spans="1:14" ht="13.15" hidden="1" x14ac:dyDescent="0.2">
      <c r="A217" s="47" t="s">
        <v>19</v>
      </c>
      <c r="B217" s="47" t="s">
        <v>20</v>
      </c>
      <c r="C217" s="47" t="s">
        <v>21</v>
      </c>
      <c r="D217" s="47" t="s">
        <v>22</v>
      </c>
      <c r="E217" s="47" t="s">
        <v>23</v>
      </c>
      <c r="F217" s="47" t="s">
        <v>24</v>
      </c>
      <c r="G217" s="47" t="s">
        <v>25</v>
      </c>
      <c r="H217" s="47" t="s">
        <v>26</v>
      </c>
      <c r="I217" s="47" t="s">
        <v>27</v>
      </c>
      <c r="J217" s="47" t="s">
        <v>28</v>
      </c>
      <c r="K217" s="47" t="s">
        <v>29</v>
      </c>
      <c r="L217" s="47" t="s">
        <v>172</v>
      </c>
      <c r="M217" s="47" t="s">
        <v>203</v>
      </c>
      <c r="N217" s="47" t="s">
        <v>204</v>
      </c>
    </row>
    <row r="218" spans="1:14" ht="15.05" hidden="1" customHeight="1" x14ac:dyDescent="0.2">
      <c r="A218" s="51"/>
      <c r="B218" s="47" t="s">
        <v>31</v>
      </c>
      <c r="C218" s="47"/>
      <c r="D218" s="47"/>
      <c r="E218" s="47"/>
      <c r="F218" s="47"/>
      <c r="G218" s="47"/>
      <c r="H218" s="47"/>
      <c r="I218" s="45"/>
      <c r="J218" s="45"/>
      <c r="K218" s="45"/>
      <c r="L218" s="45">
        <f>C218*F218*I218</f>
        <v>0</v>
      </c>
      <c r="M218" s="45">
        <f t="shared" ref="M218:N218" si="73">D218*G218*J218</f>
        <v>0</v>
      </c>
      <c r="N218" s="45">
        <f t="shared" si="73"/>
        <v>0</v>
      </c>
    </row>
    <row r="219" spans="1:14" ht="13.15" hidden="1" x14ac:dyDescent="0.2">
      <c r="A219" s="47" t="s">
        <v>121</v>
      </c>
      <c r="B219" s="47" t="s">
        <v>122</v>
      </c>
      <c r="C219" s="47" t="s">
        <v>1</v>
      </c>
      <c r="D219" s="47" t="s">
        <v>1</v>
      </c>
      <c r="E219" s="47" t="s">
        <v>1</v>
      </c>
      <c r="F219" s="47" t="s">
        <v>1</v>
      </c>
      <c r="G219" s="47" t="s">
        <v>1</v>
      </c>
      <c r="H219" s="47" t="s">
        <v>1</v>
      </c>
      <c r="I219" s="47" t="s">
        <v>1</v>
      </c>
      <c r="J219" s="47" t="s">
        <v>1</v>
      </c>
      <c r="K219" s="47" t="s">
        <v>1</v>
      </c>
      <c r="L219" s="55">
        <f>L218</f>
        <v>0</v>
      </c>
      <c r="M219" s="55">
        <f t="shared" ref="M219:N219" si="74">M218</f>
        <v>0</v>
      </c>
      <c r="N219" s="55">
        <f t="shared" si="74"/>
        <v>0</v>
      </c>
    </row>
    <row r="220" spans="1:14" ht="13.15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</row>
    <row r="221" spans="1:14" ht="13.15" x14ac:dyDescent="0.25">
      <c r="A221" s="272" t="s">
        <v>394</v>
      </c>
      <c r="B221" s="272"/>
      <c r="C221" s="272"/>
      <c r="D221" s="272"/>
      <c r="E221" s="272"/>
      <c r="F221" s="272"/>
      <c r="G221" s="272"/>
      <c r="H221" s="272"/>
      <c r="I221" s="272"/>
      <c r="J221" s="272"/>
      <c r="K221" s="272"/>
      <c r="L221" s="23"/>
      <c r="M221" s="23"/>
      <c r="N221" s="23"/>
    </row>
    <row r="222" spans="1:14" ht="13.15" hidden="1" x14ac:dyDescent="0.25">
      <c r="A222" s="59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</row>
    <row r="223" spans="1:14" ht="17.25" hidden="1" customHeight="1" x14ac:dyDescent="0.25">
      <c r="A223" s="245" t="s">
        <v>10</v>
      </c>
      <c r="B223" s="248" t="s">
        <v>11</v>
      </c>
      <c r="C223" s="261" t="s">
        <v>209</v>
      </c>
      <c r="D223" s="261"/>
      <c r="E223" s="261"/>
      <c r="F223" s="261" t="s">
        <v>210</v>
      </c>
      <c r="G223" s="261"/>
      <c r="H223" s="261"/>
      <c r="I223" s="261" t="s">
        <v>211</v>
      </c>
      <c r="J223" s="261"/>
      <c r="K223" s="261"/>
      <c r="L223" s="23"/>
      <c r="M223" s="23"/>
      <c r="N223" s="23"/>
    </row>
    <row r="224" spans="1:14" ht="13.15" hidden="1" x14ac:dyDescent="0.25">
      <c r="A224" s="245"/>
      <c r="B224" s="248"/>
      <c r="C224" s="49" t="s">
        <v>7</v>
      </c>
      <c r="D224" s="49" t="s">
        <v>8</v>
      </c>
      <c r="E224" s="49" t="s">
        <v>9</v>
      </c>
      <c r="F224" s="49" t="s">
        <v>7</v>
      </c>
      <c r="G224" s="49" t="s">
        <v>8</v>
      </c>
      <c r="H224" s="49" t="s">
        <v>9</v>
      </c>
      <c r="I224" s="49" t="s">
        <v>7</v>
      </c>
      <c r="J224" s="49" t="s">
        <v>8</v>
      </c>
      <c r="K224" s="49" t="s">
        <v>395</v>
      </c>
      <c r="L224" s="23"/>
      <c r="M224" s="23"/>
      <c r="N224" s="23"/>
    </row>
    <row r="225" spans="1:14" ht="55.6" hidden="1" customHeight="1" x14ac:dyDescent="0.25">
      <c r="A225" s="245"/>
      <c r="B225" s="248"/>
      <c r="C225" s="46" t="s">
        <v>82</v>
      </c>
      <c r="D225" s="46" t="s">
        <v>83</v>
      </c>
      <c r="E225" s="46" t="s">
        <v>84</v>
      </c>
      <c r="F225" s="46" t="s">
        <v>82</v>
      </c>
      <c r="G225" s="46" t="s">
        <v>83</v>
      </c>
      <c r="H225" s="46" t="s">
        <v>84</v>
      </c>
      <c r="I225" s="46" t="s">
        <v>82</v>
      </c>
      <c r="J225" s="46" t="s">
        <v>83</v>
      </c>
      <c r="K225" s="46" t="s">
        <v>84</v>
      </c>
      <c r="L225" s="23"/>
      <c r="M225" s="23"/>
      <c r="N225" s="23"/>
    </row>
    <row r="226" spans="1:14" ht="13.15" hidden="1" x14ac:dyDescent="0.25">
      <c r="A226" s="47" t="s">
        <v>19</v>
      </c>
      <c r="B226" s="47" t="s">
        <v>20</v>
      </c>
      <c r="C226" s="47" t="s">
        <v>21</v>
      </c>
      <c r="D226" s="47" t="s">
        <v>22</v>
      </c>
      <c r="E226" s="47" t="s">
        <v>23</v>
      </c>
      <c r="F226" s="47" t="s">
        <v>24</v>
      </c>
      <c r="G226" s="47" t="s">
        <v>25</v>
      </c>
      <c r="H226" s="47" t="s">
        <v>26</v>
      </c>
      <c r="I226" s="47" t="s">
        <v>27</v>
      </c>
      <c r="J226" s="47" t="s">
        <v>28</v>
      </c>
      <c r="K226" s="47" t="s">
        <v>29</v>
      </c>
      <c r="L226" s="23"/>
      <c r="M226" s="23"/>
      <c r="N226" s="23"/>
    </row>
    <row r="227" spans="1:14" ht="13.15" hidden="1" x14ac:dyDescent="0.25">
      <c r="A227" s="51"/>
      <c r="B227" s="47" t="s">
        <v>31</v>
      </c>
      <c r="C227" s="51"/>
      <c r="D227" s="51"/>
      <c r="E227" s="51"/>
      <c r="F227" s="51"/>
      <c r="G227" s="51"/>
      <c r="H227" s="51"/>
      <c r="I227" s="51"/>
      <c r="J227" s="51"/>
      <c r="K227" s="51"/>
      <c r="L227" s="23"/>
      <c r="M227" s="23"/>
      <c r="N227" s="23"/>
    </row>
    <row r="228" spans="1:14" ht="13.15" hidden="1" x14ac:dyDescent="0.25">
      <c r="A228" s="47" t="s">
        <v>121</v>
      </c>
      <c r="B228" s="47" t="s">
        <v>122</v>
      </c>
      <c r="C228" s="47" t="s">
        <v>1</v>
      </c>
      <c r="D228" s="47" t="s">
        <v>1</v>
      </c>
      <c r="E228" s="47" t="s">
        <v>1</v>
      </c>
      <c r="F228" s="47" t="s">
        <v>1</v>
      </c>
      <c r="G228" s="47" t="s">
        <v>1</v>
      </c>
      <c r="H228" s="47" t="s">
        <v>1</v>
      </c>
      <c r="I228" s="51"/>
      <c r="J228" s="51"/>
      <c r="K228" s="51"/>
      <c r="L228" s="23"/>
      <c r="M228" s="23"/>
      <c r="N228" s="23"/>
    </row>
    <row r="229" spans="1:14" ht="13.15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</row>
    <row r="230" spans="1:14" ht="13.15" x14ac:dyDescent="0.25">
      <c r="A230" s="278" t="s">
        <v>465</v>
      </c>
      <c r="B230" s="278"/>
      <c r="C230" s="278"/>
      <c r="D230" s="278"/>
      <c r="E230" s="278"/>
      <c r="F230" s="278"/>
      <c r="G230" s="278"/>
      <c r="H230" s="278"/>
      <c r="I230" s="278"/>
      <c r="J230" s="278"/>
      <c r="K230" s="278"/>
      <c r="L230" s="23"/>
      <c r="M230" s="23"/>
      <c r="N230" s="23"/>
    </row>
    <row r="231" spans="1:14" ht="13.15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</row>
    <row r="232" spans="1:14" ht="27.1" customHeight="1" x14ac:dyDescent="0.25">
      <c r="A232" s="248" t="s">
        <v>199</v>
      </c>
      <c r="B232" s="248" t="s">
        <v>11</v>
      </c>
      <c r="C232" s="261" t="s">
        <v>212</v>
      </c>
      <c r="D232" s="261"/>
      <c r="E232" s="261"/>
      <c r="F232" s="261" t="s">
        <v>213</v>
      </c>
      <c r="G232" s="261"/>
      <c r="H232" s="261"/>
      <c r="I232" s="245" t="s">
        <v>214</v>
      </c>
      <c r="J232" s="245"/>
      <c r="K232" s="245"/>
      <c r="L232" s="23"/>
      <c r="M232" s="23"/>
      <c r="N232" s="23"/>
    </row>
    <row r="233" spans="1:14" ht="16.45" customHeight="1" x14ac:dyDescent="0.25">
      <c r="A233" s="248"/>
      <c r="B233" s="248"/>
      <c r="C233" s="150" t="s">
        <v>9</v>
      </c>
      <c r="D233" s="150" t="s">
        <v>571</v>
      </c>
      <c r="E233" s="150" t="s">
        <v>630</v>
      </c>
      <c r="F233" s="150" t="s">
        <v>9</v>
      </c>
      <c r="G233" s="150" t="s">
        <v>571</v>
      </c>
      <c r="H233" s="150" t="s">
        <v>630</v>
      </c>
      <c r="I233" s="150" t="s">
        <v>9</v>
      </c>
      <c r="J233" s="150" t="s">
        <v>571</v>
      </c>
      <c r="K233" s="150" t="s">
        <v>630</v>
      </c>
      <c r="L233" s="23"/>
      <c r="M233" s="23"/>
      <c r="N233" s="23"/>
    </row>
    <row r="234" spans="1:14" ht="41.35" customHeight="1" x14ac:dyDescent="0.25">
      <c r="A234" s="248"/>
      <c r="B234" s="248"/>
      <c r="C234" s="46" t="s">
        <v>82</v>
      </c>
      <c r="D234" s="46" t="s">
        <v>83</v>
      </c>
      <c r="E234" s="46" t="s">
        <v>84</v>
      </c>
      <c r="F234" s="46" t="s">
        <v>82</v>
      </c>
      <c r="G234" s="46" t="s">
        <v>83</v>
      </c>
      <c r="H234" s="46" t="s">
        <v>84</v>
      </c>
      <c r="I234" s="46" t="s">
        <v>82</v>
      </c>
      <c r="J234" s="46" t="s">
        <v>83</v>
      </c>
      <c r="K234" s="46" t="s">
        <v>84</v>
      </c>
      <c r="L234" s="23"/>
      <c r="M234" s="23"/>
      <c r="N234" s="23"/>
    </row>
    <row r="235" spans="1:14" ht="13.15" x14ac:dyDescent="0.25">
      <c r="A235" s="47" t="s">
        <v>19</v>
      </c>
      <c r="B235" s="47" t="s">
        <v>20</v>
      </c>
      <c r="C235" s="47" t="s">
        <v>21</v>
      </c>
      <c r="D235" s="47" t="s">
        <v>22</v>
      </c>
      <c r="E235" s="47" t="s">
        <v>23</v>
      </c>
      <c r="F235" s="47" t="s">
        <v>24</v>
      </c>
      <c r="G235" s="47" t="s">
        <v>25</v>
      </c>
      <c r="H235" s="47" t="s">
        <v>26</v>
      </c>
      <c r="I235" s="47" t="s">
        <v>27</v>
      </c>
      <c r="J235" s="47" t="s">
        <v>28</v>
      </c>
      <c r="K235" s="47" t="s">
        <v>29</v>
      </c>
      <c r="L235" s="23"/>
      <c r="M235" s="23"/>
      <c r="N235" s="23"/>
    </row>
    <row r="236" spans="1:14" ht="14.25" customHeight="1" x14ac:dyDescent="0.25">
      <c r="A236" s="15" t="s">
        <v>455</v>
      </c>
      <c r="B236" s="47" t="s">
        <v>31</v>
      </c>
      <c r="C236" s="51"/>
      <c r="D236" s="51"/>
      <c r="E236" s="51"/>
      <c r="F236" s="51"/>
      <c r="G236" s="51"/>
      <c r="H236" s="51"/>
      <c r="I236" s="45">
        <v>5854</v>
      </c>
      <c r="J236" s="45">
        <v>5854</v>
      </c>
      <c r="K236" s="45">
        <v>5854</v>
      </c>
      <c r="L236" s="23"/>
      <c r="M236" s="23"/>
      <c r="N236" s="23"/>
    </row>
    <row r="237" spans="1:14" ht="15.85" customHeight="1" x14ac:dyDescent="0.25">
      <c r="A237" s="15" t="s">
        <v>696</v>
      </c>
      <c r="B237" s="47" t="s">
        <v>33</v>
      </c>
      <c r="C237" s="51"/>
      <c r="D237" s="51"/>
      <c r="E237" s="51"/>
      <c r="F237" s="51"/>
      <c r="G237" s="51"/>
      <c r="H237" s="51"/>
      <c r="I237" s="45">
        <v>12600</v>
      </c>
      <c r="J237" s="45">
        <v>12600</v>
      </c>
      <c r="K237" s="45">
        <v>12600</v>
      </c>
      <c r="L237" s="23"/>
      <c r="M237" s="23"/>
      <c r="N237" s="23"/>
    </row>
    <row r="238" spans="1:14" ht="15.85" customHeight="1" x14ac:dyDescent="0.25">
      <c r="A238" s="15" t="s">
        <v>454</v>
      </c>
      <c r="B238" s="47" t="s">
        <v>380</v>
      </c>
      <c r="C238" s="51"/>
      <c r="D238" s="51"/>
      <c r="E238" s="51"/>
      <c r="F238" s="51"/>
      <c r="G238" s="51"/>
      <c r="H238" s="51"/>
      <c r="I238" s="45">
        <v>50000</v>
      </c>
      <c r="J238" s="45">
        <f>155100-105100</f>
        <v>50000</v>
      </c>
      <c r="K238" s="45">
        <f>155100-105100</f>
        <v>50000</v>
      </c>
      <c r="L238" s="23"/>
      <c r="M238" s="23"/>
      <c r="N238" s="23"/>
    </row>
    <row r="239" spans="1:14" ht="13.5" customHeight="1" x14ac:dyDescent="0.25">
      <c r="A239" s="47" t="s">
        <v>121</v>
      </c>
      <c r="B239" s="47">
        <v>2300</v>
      </c>
      <c r="C239" s="47" t="s">
        <v>1</v>
      </c>
      <c r="D239" s="47" t="s">
        <v>1</v>
      </c>
      <c r="E239" s="47" t="s">
        <v>1</v>
      </c>
      <c r="F239" s="47" t="s">
        <v>1</v>
      </c>
      <c r="G239" s="47" t="s">
        <v>1</v>
      </c>
      <c r="H239" s="47" t="s">
        <v>1</v>
      </c>
      <c r="I239" s="55">
        <f>SUM(I236:I238)</f>
        <v>68454</v>
      </c>
      <c r="J239" s="55">
        <f>SUM(J236:J238)</f>
        <v>68454</v>
      </c>
      <c r="K239" s="55">
        <f>SUM(K236:K238)</f>
        <v>68454</v>
      </c>
      <c r="L239" s="23"/>
      <c r="M239" s="23"/>
      <c r="N239" s="23"/>
    </row>
    <row r="240" spans="1:14" ht="13.15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1:14" ht="13.15" x14ac:dyDescent="0.2">
      <c r="A241" s="272" t="s">
        <v>464</v>
      </c>
      <c r="B241" s="272"/>
      <c r="C241" s="272"/>
      <c r="D241" s="272"/>
      <c r="E241" s="272"/>
      <c r="F241" s="272"/>
      <c r="G241" s="272"/>
      <c r="H241" s="272"/>
      <c r="I241" s="272"/>
      <c r="J241" s="272"/>
      <c r="K241" s="272"/>
      <c r="L241" s="272"/>
      <c r="M241" s="272"/>
      <c r="N241" s="272"/>
    </row>
    <row r="242" spans="1:14" ht="13.15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</row>
    <row r="243" spans="1:14" ht="18" customHeight="1" x14ac:dyDescent="0.25">
      <c r="A243" s="245" t="s">
        <v>199</v>
      </c>
      <c r="B243" s="248" t="s">
        <v>11</v>
      </c>
      <c r="C243" s="248" t="s">
        <v>209</v>
      </c>
      <c r="D243" s="248"/>
      <c r="E243" s="248"/>
      <c r="F243" s="248" t="s">
        <v>210</v>
      </c>
      <c r="G243" s="248"/>
      <c r="H243" s="248"/>
      <c r="I243" s="248" t="s">
        <v>211</v>
      </c>
      <c r="J243" s="248"/>
      <c r="K243" s="248"/>
      <c r="L243" s="23"/>
      <c r="M243" s="23"/>
      <c r="N243" s="23"/>
    </row>
    <row r="244" spans="1:14" ht="14.25" customHeight="1" x14ac:dyDescent="0.25">
      <c r="A244" s="245"/>
      <c r="B244" s="248"/>
      <c r="C244" s="150" t="s">
        <v>9</v>
      </c>
      <c r="D244" s="150" t="s">
        <v>571</v>
      </c>
      <c r="E244" s="150" t="s">
        <v>630</v>
      </c>
      <c r="F244" s="150" t="s">
        <v>9</v>
      </c>
      <c r="G244" s="150" t="s">
        <v>571</v>
      </c>
      <c r="H244" s="150" t="s">
        <v>630</v>
      </c>
      <c r="I244" s="150" t="s">
        <v>9</v>
      </c>
      <c r="J244" s="150" t="s">
        <v>571</v>
      </c>
      <c r="K244" s="150" t="s">
        <v>630</v>
      </c>
      <c r="L244" s="23"/>
      <c r="M244" s="23"/>
      <c r="N244" s="23"/>
    </row>
    <row r="245" spans="1:14" ht="40.549999999999997" customHeight="1" x14ac:dyDescent="0.25">
      <c r="A245" s="245"/>
      <c r="B245" s="248"/>
      <c r="C245" s="46" t="s">
        <v>82</v>
      </c>
      <c r="D245" s="46" t="s">
        <v>83</v>
      </c>
      <c r="E245" s="46" t="s">
        <v>84</v>
      </c>
      <c r="F245" s="46" t="s">
        <v>82</v>
      </c>
      <c r="G245" s="46" t="s">
        <v>83</v>
      </c>
      <c r="H245" s="46" t="s">
        <v>84</v>
      </c>
      <c r="I245" s="46" t="s">
        <v>82</v>
      </c>
      <c r="J245" s="46" t="s">
        <v>83</v>
      </c>
      <c r="K245" s="46" t="s">
        <v>84</v>
      </c>
      <c r="L245" s="23"/>
      <c r="M245" s="23"/>
      <c r="N245" s="23"/>
    </row>
    <row r="246" spans="1:14" ht="13.15" x14ac:dyDescent="0.25">
      <c r="A246" s="47" t="s">
        <v>19</v>
      </c>
      <c r="B246" s="47" t="s">
        <v>20</v>
      </c>
      <c r="C246" s="47" t="s">
        <v>21</v>
      </c>
      <c r="D246" s="47" t="s">
        <v>22</v>
      </c>
      <c r="E246" s="47" t="s">
        <v>23</v>
      </c>
      <c r="F246" s="47" t="s">
        <v>24</v>
      </c>
      <c r="G246" s="47" t="s">
        <v>25</v>
      </c>
      <c r="H246" s="47" t="s">
        <v>26</v>
      </c>
      <c r="I246" s="47" t="s">
        <v>27</v>
      </c>
      <c r="J246" s="47" t="s">
        <v>28</v>
      </c>
      <c r="K246" s="47" t="s">
        <v>29</v>
      </c>
      <c r="L246" s="23"/>
      <c r="M246" s="23"/>
      <c r="N246" s="23"/>
    </row>
    <row r="247" spans="1:14" ht="26.3" customHeight="1" x14ac:dyDescent="0.25">
      <c r="A247" s="15" t="s">
        <v>710</v>
      </c>
      <c r="B247" s="47" t="s">
        <v>31</v>
      </c>
      <c r="C247" s="51"/>
      <c r="D247" s="51"/>
      <c r="E247" s="51"/>
      <c r="F247" s="51"/>
      <c r="G247" s="51"/>
      <c r="H247" s="51"/>
      <c r="I247" s="91">
        <f>40000+25000</f>
        <v>65000</v>
      </c>
      <c r="J247" s="91">
        <v>40000</v>
      </c>
      <c r="K247" s="91">
        <v>40000</v>
      </c>
      <c r="L247" s="23"/>
      <c r="M247" s="23"/>
      <c r="N247" s="23"/>
    </row>
    <row r="248" spans="1:14" ht="13.15" x14ac:dyDescent="0.25">
      <c r="A248" s="47" t="s">
        <v>121</v>
      </c>
      <c r="B248" s="47">
        <v>2420</v>
      </c>
      <c r="C248" s="47" t="s">
        <v>1</v>
      </c>
      <c r="D248" s="47" t="s">
        <v>1</v>
      </c>
      <c r="E248" s="47" t="s">
        <v>1</v>
      </c>
      <c r="F248" s="47" t="s">
        <v>1</v>
      </c>
      <c r="G248" s="47" t="s">
        <v>1</v>
      </c>
      <c r="H248" s="47" t="s">
        <v>1</v>
      </c>
      <c r="I248" s="92">
        <f>I247</f>
        <v>65000</v>
      </c>
      <c r="J248" s="92">
        <f t="shared" ref="J248:K248" si="75">J247</f>
        <v>40000</v>
      </c>
      <c r="K248" s="92">
        <f t="shared" si="75"/>
        <v>40000</v>
      </c>
      <c r="L248" s="23"/>
      <c r="M248" s="23"/>
      <c r="N248" s="23"/>
    </row>
    <row r="249" spans="1:14" ht="13.15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</row>
    <row r="250" spans="1:14" ht="15.85" hidden="1" customHeight="1" x14ac:dyDescent="0.2">
      <c r="A250" s="272" t="s">
        <v>463</v>
      </c>
      <c r="B250" s="272"/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</row>
    <row r="251" spans="1:14" ht="13.15" hidden="1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</row>
    <row r="252" spans="1:14" ht="18" hidden="1" customHeight="1" x14ac:dyDescent="0.25">
      <c r="A252" s="245" t="s">
        <v>199</v>
      </c>
      <c r="B252" s="248" t="s">
        <v>11</v>
      </c>
      <c r="C252" s="261" t="s">
        <v>209</v>
      </c>
      <c r="D252" s="261"/>
      <c r="E252" s="261"/>
      <c r="F252" s="261" t="s">
        <v>210</v>
      </c>
      <c r="G252" s="261"/>
      <c r="H252" s="261"/>
      <c r="I252" s="261" t="s">
        <v>211</v>
      </c>
      <c r="J252" s="261"/>
      <c r="K252" s="261"/>
      <c r="L252" s="23"/>
      <c r="M252" s="23"/>
      <c r="N252" s="23"/>
    </row>
    <row r="253" spans="1:14" ht="16.45" hidden="1" customHeight="1" x14ac:dyDescent="0.25">
      <c r="A253" s="245"/>
      <c r="B253" s="248"/>
      <c r="C253" s="49" t="s">
        <v>7</v>
      </c>
      <c r="D253" s="49" t="s">
        <v>8</v>
      </c>
      <c r="E253" s="49" t="s">
        <v>9</v>
      </c>
      <c r="F253" s="49" t="s">
        <v>7</v>
      </c>
      <c r="G253" s="49" t="s">
        <v>8</v>
      </c>
      <c r="H253" s="49" t="s">
        <v>9</v>
      </c>
      <c r="I253" s="49" t="s">
        <v>7</v>
      </c>
      <c r="J253" s="49" t="s">
        <v>8</v>
      </c>
      <c r="K253" s="49" t="s">
        <v>9</v>
      </c>
      <c r="L253" s="23"/>
      <c r="M253" s="23"/>
      <c r="N253" s="23"/>
    </row>
    <row r="254" spans="1:14" ht="54" hidden="1" customHeight="1" x14ac:dyDescent="0.25">
      <c r="A254" s="245"/>
      <c r="B254" s="248"/>
      <c r="C254" s="46" t="s">
        <v>82</v>
      </c>
      <c r="D254" s="46" t="s">
        <v>83</v>
      </c>
      <c r="E254" s="46" t="s">
        <v>84</v>
      </c>
      <c r="F254" s="46" t="s">
        <v>82</v>
      </c>
      <c r="G254" s="46" t="s">
        <v>83</v>
      </c>
      <c r="H254" s="46" t="s">
        <v>84</v>
      </c>
      <c r="I254" s="46" t="s">
        <v>82</v>
      </c>
      <c r="J254" s="46" t="s">
        <v>83</v>
      </c>
      <c r="K254" s="46" t="s">
        <v>84</v>
      </c>
      <c r="L254" s="23"/>
      <c r="M254" s="23"/>
      <c r="N254" s="23"/>
    </row>
    <row r="255" spans="1:14" ht="13.15" hidden="1" x14ac:dyDescent="0.25">
      <c r="A255" s="47" t="s">
        <v>19</v>
      </c>
      <c r="B255" s="47" t="s">
        <v>20</v>
      </c>
      <c r="C255" s="47" t="s">
        <v>21</v>
      </c>
      <c r="D255" s="47" t="s">
        <v>22</v>
      </c>
      <c r="E255" s="47" t="s">
        <v>23</v>
      </c>
      <c r="F255" s="47" t="s">
        <v>24</v>
      </c>
      <c r="G255" s="47" t="s">
        <v>25</v>
      </c>
      <c r="H255" s="47" t="s">
        <v>26</v>
      </c>
      <c r="I255" s="47" t="s">
        <v>27</v>
      </c>
      <c r="J255" s="47" t="s">
        <v>28</v>
      </c>
      <c r="K255" s="47" t="s">
        <v>29</v>
      </c>
      <c r="L255" s="23"/>
      <c r="M255" s="23"/>
      <c r="N255" s="23"/>
    </row>
    <row r="256" spans="1:14" ht="13.15" hidden="1" x14ac:dyDescent="0.25">
      <c r="A256" s="51"/>
      <c r="B256" s="47" t="s">
        <v>31</v>
      </c>
      <c r="C256" s="51"/>
      <c r="D256" s="51"/>
      <c r="E256" s="51"/>
      <c r="F256" s="51"/>
      <c r="G256" s="51"/>
      <c r="H256" s="51"/>
      <c r="I256" s="51"/>
      <c r="J256" s="51"/>
      <c r="K256" s="51"/>
      <c r="L256" s="23"/>
      <c r="M256" s="23"/>
      <c r="N256" s="23"/>
    </row>
    <row r="257" spans="1:14" ht="13.15" hidden="1" x14ac:dyDescent="0.25">
      <c r="A257" s="47" t="s">
        <v>121</v>
      </c>
      <c r="B257" s="47" t="s">
        <v>122</v>
      </c>
      <c r="C257" s="47" t="s">
        <v>1</v>
      </c>
      <c r="D257" s="47" t="s">
        <v>1</v>
      </c>
      <c r="E257" s="47" t="s">
        <v>1</v>
      </c>
      <c r="F257" s="47" t="s">
        <v>1</v>
      </c>
      <c r="G257" s="47" t="s">
        <v>1</v>
      </c>
      <c r="H257" s="47" t="s">
        <v>1</v>
      </c>
      <c r="I257" s="51"/>
      <c r="J257" s="51"/>
      <c r="K257" s="51"/>
      <c r="L257" s="23"/>
      <c r="M257" s="23"/>
      <c r="N257" s="23"/>
    </row>
  </sheetData>
  <mergeCells count="94">
    <mergeCell ref="A18:N18"/>
    <mergeCell ref="A1:K1"/>
    <mergeCell ref="A3:N3"/>
    <mergeCell ref="A5:A7"/>
    <mergeCell ref="B5:B7"/>
    <mergeCell ref="C5:E5"/>
    <mergeCell ref="A67:N67"/>
    <mergeCell ref="A20:A23"/>
    <mergeCell ref="B20:B23"/>
    <mergeCell ref="C20:C23"/>
    <mergeCell ref="D20:K20"/>
    <mergeCell ref="L20:L23"/>
    <mergeCell ref="D21:D23"/>
    <mergeCell ref="E21:K21"/>
    <mergeCell ref="E22:E23"/>
    <mergeCell ref="F22:F23"/>
    <mergeCell ref="G22:G23"/>
    <mergeCell ref="H22:I22"/>
    <mergeCell ref="J22:K22"/>
    <mergeCell ref="M66:N66"/>
    <mergeCell ref="A118:A121"/>
    <mergeCell ref="B118:B121"/>
    <mergeCell ref="C118:C121"/>
    <mergeCell ref="D118:K118"/>
    <mergeCell ref="L118:L121"/>
    <mergeCell ref="D119:D121"/>
    <mergeCell ref="E119:K119"/>
    <mergeCell ref="E120:E121"/>
    <mergeCell ref="F120:F121"/>
    <mergeCell ref="G120:G121"/>
    <mergeCell ref="H120:I120"/>
    <mergeCell ref="J120:K120"/>
    <mergeCell ref="H71:I71"/>
    <mergeCell ref="J71:K71"/>
    <mergeCell ref="A116:N116"/>
    <mergeCell ref="A69:A72"/>
    <mergeCell ref="B69:B72"/>
    <mergeCell ref="C69:C72"/>
    <mergeCell ref="D69:K69"/>
    <mergeCell ref="L69:L72"/>
    <mergeCell ref="D70:D72"/>
    <mergeCell ref="E70:K70"/>
    <mergeCell ref="E71:E72"/>
    <mergeCell ref="F71:F72"/>
    <mergeCell ref="G71:G72"/>
    <mergeCell ref="A200:K200"/>
    <mergeCell ref="A165:N165"/>
    <mergeCell ref="A167:N167"/>
    <mergeCell ref="A168:A170"/>
    <mergeCell ref="B168:B170"/>
    <mergeCell ref="C168:E168"/>
    <mergeCell ref="A179:K179"/>
    <mergeCell ref="A181:A183"/>
    <mergeCell ref="B181:B183"/>
    <mergeCell ref="C181:E181"/>
    <mergeCell ref="F181:H181"/>
    <mergeCell ref="A198:K198"/>
    <mergeCell ref="A202:K202"/>
    <mergeCell ref="A204:A206"/>
    <mergeCell ref="B204:B206"/>
    <mergeCell ref="C204:E204"/>
    <mergeCell ref="F204:H204"/>
    <mergeCell ref="I204:K204"/>
    <mergeCell ref="L204:N204"/>
    <mergeCell ref="A214:A216"/>
    <mergeCell ref="B214:B216"/>
    <mergeCell ref="C214:E214"/>
    <mergeCell ref="F214:H214"/>
    <mergeCell ref="I214:K214"/>
    <mergeCell ref="L214:N214"/>
    <mergeCell ref="A221:K221"/>
    <mergeCell ref="A223:A225"/>
    <mergeCell ref="B223:B225"/>
    <mergeCell ref="C223:E223"/>
    <mergeCell ref="F223:H223"/>
    <mergeCell ref="I223:K223"/>
    <mergeCell ref="A230:K230"/>
    <mergeCell ref="A232:A234"/>
    <mergeCell ref="B232:B234"/>
    <mergeCell ref="C232:E232"/>
    <mergeCell ref="F232:H232"/>
    <mergeCell ref="I232:K232"/>
    <mergeCell ref="A241:N241"/>
    <mergeCell ref="A243:A245"/>
    <mergeCell ref="B243:B245"/>
    <mergeCell ref="C243:E243"/>
    <mergeCell ref="F243:H243"/>
    <mergeCell ref="I243:K243"/>
    <mergeCell ref="A250:N250"/>
    <mergeCell ref="A252:A254"/>
    <mergeCell ref="B252:B254"/>
    <mergeCell ref="C252:E252"/>
    <mergeCell ref="F252:H252"/>
    <mergeCell ref="I252:K252"/>
  </mergeCells>
  <pageMargins left="0.39370078740157483" right="0.19685039370078741" top="0.39370078740157483" bottom="0.19685039370078741" header="0.31496062992125984" footer="0.31496062992125984"/>
  <pageSetup paperSize="9" scale="72" orientation="landscape" r:id="rId1"/>
  <rowBreaks count="5" manualBreakCount="5">
    <brk id="36" max="13" man="1"/>
    <brk id="79" max="13" man="1"/>
    <brk id="114" max="16383" man="1"/>
    <brk id="156" max="13" man="1"/>
    <brk id="197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2:P239"/>
  <sheetViews>
    <sheetView view="pageBreakPreview" zoomScaleSheetLayoutView="100" workbookViewId="0">
      <selection activeCell="A225" sqref="A225"/>
    </sheetView>
  </sheetViews>
  <sheetFormatPr defaultRowHeight="12.55" x14ac:dyDescent="0.2"/>
  <cols>
    <col min="1" max="1" width="36.44140625" customWidth="1"/>
    <col min="2" max="2" width="7.5546875" customWidth="1"/>
    <col min="3" max="3" width="13.44140625" customWidth="1"/>
    <col min="4" max="4" width="12.6640625" customWidth="1"/>
    <col min="5" max="5" width="12" customWidth="1"/>
    <col min="6" max="6" width="11.109375" customWidth="1"/>
    <col min="7" max="7" width="10.44140625" customWidth="1"/>
    <col min="8" max="8" width="10.5546875" customWidth="1"/>
    <col min="9" max="9" width="12" customWidth="1"/>
    <col min="10" max="11" width="11.33203125" customWidth="1"/>
    <col min="12" max="12" width="13.88671875" customWidth="1"/>
    <col min="13" max="13" width="11.44140625" customWidth="1"/>
    <col min="14" max="14" width="12.6640625" customWidth="1"/>
    <col min="16" max="16" width="10.109375" bestFit="1" customWidth="1"/>
  </cols>
  <sheetData>
    <row r="2" spans="1:14" ht="15.85" customHeight="1" x14ac:dyDescent="0.2">
      <c r="A2" s="272" t="s">
        <v>470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</row>
    <row r="3" spans="1:14" ht="13.15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3.15" x14ac:dyDescent="0.2">
      <c r="A4" s="272" t="s">
        <v>471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4" ht="13.15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5.85" customHeight="1" x14ac:dyDescent="0.25">
      <c r="A6" s="274" t="s">
        <v>10</v>
      </c>
      <c r="B6" s="248" t="s">
        <v>11</v>
      </c>
      <c r="C6" s="290" t="s">
        <v>81</v>
      </c>
      <c r="D6" s="291"/>
      <c r="E6" s="292"/>
      <c r="F6" s="23"/>
      <c r="G6" s="23"/>
      <c r="H6" s="23"/>
      <c r="I6" s="23"/>
      <c r="J6" s="23"/>
      <c r="K6" s="23"/>
      <c r="L6" s="23"/>
      <c r="M6" s="23"/>
      <c r="N6" s="23"/>
    </row>
    <row r="7" spans="1:14" ht="15.85" customHeight="1" x14ac:dyDescent="0.25">
      <c r="A7" s="274"/>
      <c r="B7" s="248"/>
      <c r="C7" s="12" t="s">
        <v>9</v>
      </c>
      <c r="D7" s="12" t="s">
        <v>571</v>
      </c>
      <c r="E7" s="12" t="s">
        <v>630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40.549999999999997" customHeight="1" x14ac:dyDescent="0.25">
      <c r="A8" s="274"/>
      <c r="B8" s="248"/>
      <c r="C8" s="46" t="s">
        <v>82</v>
      </c>
      <c r="D8" s="46" t="s">
        <v>83</v>
      </c>
      <c r="E8" s="46" t="s">
        <v>84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13.15" x14ac:dyDescent="0.25">
      <c r="A9" s="12" t="s">
        <v>19</v>
      </c>
      <c r="B9" s="12" t="s">
        <v>20</v>
      </c>
      <c r="C9" s="12" t="s">
        <v>21</v>
      </c>
      <c r="D9" s="12" t="s">
        <v>22</v>
      </c>
      <c r="E9" s="12" t="s">
        <v>23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65.75" x14ac:dyDescent="0.25">
      <c r="A10" s="15" t="s">
        <v>215</v>
      </c>
      <c r="B10" s="95" t="s">
        <v>86</v>
      </c>
      <c r="C10" s="45">
        <v>530762.02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43.55" customHeight="1" x14ac:dyDescent="0.25">
      <c r="A11" s="15" t="s">
        <v>216</v>
      </c>
      <c r="B11" s="95" t="s">
        <v>88</v>
      </c>
      <c r="C11" s="45">
        <v>21000</v>
      </c>
      <c r="D11" s="45">
        <v>0</v>
      </c>
      <c r="E11" s="45">
        <v>0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26.3" x14ac:dyDescent="0.25">
      <c r="A12" s="15" t="s">
        <v>217</v>
      </c>
      <c r="B12" s="95" t="s">
        <v>90</v>
      </c>
      <c r="C12" s="45">
        <f>SUM(C13:C24)</f>
        <v>14515650.851299999</v>
      </c>
      <c r="D12" s="45">
        <f>SUM(D13:D24)</f>
        <v>10470905.0013</v>
      </c>
      <c r="E12" s="45">
        <f>SUM(E13:E24)</f>
        <v>10470905.0013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3.15" x14ac:dyDescent="0.25">
      <c r="A13" s="51" t="s">
        <v>57</v>
      </c>
      <c r="B13" s="293" t="s">
        <v>218</v>
      </c>
      <c r="C13" s="244">
        <f>L47+O47</f>
        <v>228394.11</v>
      </c>
      <c r="D13" s="244">
        <f>M47</f>
        <v>202643</v>
      </c>
      <c r="E13" s="244">
        <f>N47</f>
        <v>202643</v>
      </c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05" customHeight="1" x14ac:dyDescent="0.25">
      <c r="A14" s="51" t="s">
        <v>472</v>
      </c>
      <c r="B14" s="294"/>
      <c r="C14" s="244"/>
      <c r="D14" s="244"/>
      <c r="E14" s="244"/>
      <c r="F14" s="23"/>
      <c r="G14" s="23"/>
      <c r="H14" s="23"/>
      <c r="I14" s="23"/>
      <c r="J14" s="107"/>
      <c r="K14" s="23"/>
      <c r="L14" s="23"/>
      <c r="M14" s="23"/>
      <c r="N14" s="23"/>
    </row>
    <row r="15" spans="1:14" ht="15.85" customHeight="1" x14ac:dyDescent="0.25">
      <c r="A15" s="51" t="s">
        <v>473</v>
      </c>
      <c r="B15" s="95" t="s">
        <v>219</v>
      </c>
      <c r="C15" s="45">
        <f>I58</f>
        <v>0</v>
      </c>
      <c r="D15" s="45">
        <f>J58</f>
        <v>0</v>
      </c>
      <c r="E15" s="45">
        <f>K58</f>
        <v>0</v>
      </c>
      <c r="F15" s="23"/>
      <c r="G15" s="23"/>
      <c r="H15" s="23"/>
      <c r="I15" s="23"/>
      <c r="J15" s="107"/>
      <c r="K15" s="23"/>
      <c r="L15" s="23"/>
      <c r="M15" s="23"/>
      <c r="N15" s="23"/>
    </row>
    <row r="16" spans="1:14" ht="15.05" customHeight="1" x14ac:dyDescent="0.25">
      <c r="A16" s="51" t="s">
        <v>577</v>
      </c>
      <c r="B16" s="95" t="s">
        <v>220</v>
      </c>
      <c r="C16" s="65">
        <f>I70+L70</f>
        <v>719102.85</v>
      </c>
      <c r="D16" s="45">
        <f>J70</f>
        <v>715852.85</v>
      </c>
      <c r="E16" s="45">
        <f>K70</f>
        <v>715852.85</v>
      </c>
      <c r="F16" s="23"/>
      <c r="G16" s="23"/>
      <c r="H16" s="23"/>
      <c r="I16" s="23"/>
      <c r="J16" s="107"/>
      <c r="K16" s="23"/>
      <c r="L16" s="23"/>
      <c r="M16" s="23"/>
      <c r="N16" s="23"/>
    </row>
    <row r="17" spans="1:14" ht="15.05" customHeight="1" x14ac:dyDescent="0.25">
      <c r="A17" s="102" t="s">
        <v>574</v>
      </c>
      <c r="B17" s="101" t="s">
        <v>221</v>
      </c>
      <c r="C17" s="65">
        <f>I82+L82</f>
        <v>3579788.7812999999</v>
      </c>
      <c r="D17" s="98">
        <f>J82</f>
        <v>2788785.1513</v>
      </c>
      <c r="E17" s="98">
        <f>K82</f>
        <v>2788785.1513</v>
      </c>
      <c r="F17" s="107"/>
      <c r="G17" s="107"/>
      <c r="H17" s="107"/>
      <c r="I17" s="23"/>
      <c r="J17" s="23"/>
      <c r="K17" s="23"/>
      <c r="L17" s="23"/>
      <c r="M17" s="23"/>
      <c r="N17" s="23"/>
    </row>
    <row r="18" spans="1:14" ht="15.85" customHeight="1" x14ac:dyDescent="0.25">
      <c r="A18" s="51" t="s">
        <v>475</v>
      </c>
      <c r="B18" s="101" t="s">
        <v>222</v>
      </c>
      <c r="C18" s="45">
        <f>L91</f>
        <v>0</v>
      </c>
      <c r="D18" s="45">
        <f>M91</f>
        <v>0</v>
      </c>
      <c r="E18" s="45">
        <f>N91</f>
        <v>0</v>
      </c>
      <c r="F18" s="23"/>
      <c r="G18" s="23"/>
      <c r="H18" s="23"/>
      <c r="I18" s="23"/>
      <c r="J18" s="107"/>
      <c r="K18" s="23"/>
      <c r="L18" s="23"/>
      <c r="M18" s="23"/>
      <c r="N18" s="23"/>
    </row>
    <row r="19" spans="1:14" ht="14.25" customHeight="1" x14ac:dyDescent="0.25">
      <c r="A19" s="51" t="s">
        <v>476</v>
      </c>
      <c r="B19" s="101" t="s">
        <v>223</v>
      </c>
      <c r="C19" s="45">
        <f>I116+L116</f>
        <v>2880761</v>
      </c>
      <c r="D19" s="45">
        <f>J116</f>
        <v>2839261</v>
      </c>
      <c r="E19" s="45">
        <f>K116</f>
        <v>2839261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5.05" customHeight="1" x14ac:dyDescent="0.25">
      <c r="A20" s="51" t="s">
        <v>477</v>
      </c>
      <c r="B20" s="101" t="s">
        <v>224</v>
      </c>
      <c r="C20" s="45">
        <f>I125</f>
        <v>0</v>
      </c>
      <c r="D20" s="45">
        <f>J125</f>
        <v>0</v>
      </c>
      <c r="E20" s="45">
        <f>K125</f>
        <v>0</v>
      </c>
      <c r="F20" s="23"/>
      <c r="G20" s="23"/>
      <c r="H20" s="23"/>
      <c r="I20" s="23"/>
      <c r="J20" s="107"/>
      <c r="K20" s="23"/>
      <c r="L20" s="23"/>
      <c r="M20" s="23"/>
      <c r="N20" s="23"/>
    </row>
    <row r="21" spans="1:14" ht="27.1" customHeight="1" x14ac:dyDescent="0.25">
      <c r="A21" s="15" t="s">
        <v>478</v>
      </c>
      <c r="B21" s="101" t="s">
        <v>225</v>
      </c>
      <c r="C21" s="45">
        <f>I134</f>
        <v>14000</v>
      </c>
      <c r="D21" s="45">
        <f>J134</f>
        <v>14000</v>
      </c>
      <c r="E21" s="45">
        <f>K134</f>
        <v>14000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77.95" customHeight="1" x14ac:dyDescent="0.25">
      <c r="A22" s="15" t="s">
        <v>479</v>
      </c>
      <c r="B22" s="101" t="s">
        <v>226</v>
      </c>
      <c r="C22" s="45">
        <f>I150+L150</f>
        <v>3908440</v>
      </c>
      <c r="D22" s="45">
        <f>J150</f>
        <v>2629825</v>
      </c>
      <c r="E22" s="45">
        <f>K150</f>
        <v>2629825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26.3" customHeight="1" x14ac:dyDescent="0.25">
      <c r="A23" s="15" t="s">
        <v>480</v>
      </c>
      <c r="B23" s="136" t="s">
        <v>91</v>
      </c>
      <c r="C23" s="45">
        <f>L170+I170</f>
        <v>542320</v>
      </c>
      <c r="D23" s="45">
        <f>J170</f>
        <v>0</v>
      </c>
      <c r="E23" s="45">
        <f>K170</f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5.05" customHeight="1" x14ac:dyDescent="0.25">
      <c r="A24" s="15" t="s">
        <v>481</v>
      </c>
      <c r="B24" s="136" t="s">
        <v>581</v>
      </c>
      <c r="C24" s="45">
        <f>SUM(C25:C31)</f>
        <v>2642844.11</v>
      </c>
      <c r="D24" s="89">
        <f t="shared" ref="D24:E24" si="0">SUM(D25:D31)</f>
        <v>1280538</v>
      </c>
      <c r="E24" s="89">
        <f t="shared" si="0"/>
        <v>1280538</v>
      </c>
      <c r="F24" s="23"/>
      <c r="G24" s="23"/>
      <c r="H24" s="23"/>
      <c r="I24" s="107"/>
      <c r="J24" s="23"/>
      <c r="K24" s="107"/>
      <c r="L24" s="23"/>
      <c r="M24" s="23"/>
      <c r="N24" s="23"/>
    </row>
    <row r="25" spans="1:14" ht="39" customHeight="1" x14ac:dyDescent="0.25">
      <c r="A25" s="15" t="s">
        <v>548</v>
      </c>
      <c r="B25" s="67" t="s">
        <v>623</v>
      </c>
      <c r="C25" s="89">
        <f>I179</f>
        <v>0</v>
      </c>
      <c r="D25" s="89">
        <f>J179</f>
        <v>0</v>
      </c>
      <c r="E25" s="89">
        <f>K179</f>
        <v>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4.25" customHeight="1" x14ac:dyDescent="0.25">
      <c r="A26" s="15" t="s">
        <v>549</v>
      </c>
      <c r="B26" s="67" t="s">
        <v>624</v>
      </c>
      <c r="C26" s="89">
        <f>I188</f>
        <v>0</v>
      </c>
      <c r="D26" s="89">
        <f>J188</f>
        <v>0</v>
      </c>
      <c r="E26" s="89">
        <f>K188</f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26.3" customHeight="1" x14ac:dyDescent="0.25">
      <c r="A27" s="15" t="s">
        <v>550</v>
      </c>
      <c r="B27" s="67" t="s">
        <v>625</v>
      </c>
      <c r="C27" s="89">
        <f>I197</f>
        <v>10000</v>
      </c>
      <c r="D27" s="89">
        <f>J197</f>
        <v>0</v>
      </c>
      <c r="E27" s="89">
        <f>K197</f>
        <v>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6.3" customHeight="1" x14ac:dyDescent="0.25">
      <c r="A28" s="15" t="s">
        <v>551</v>
      </c>
      <c r="B28" s="67" t="s">
        <v>626</v>
      </c>
      <c r="C28" s="89">
        <f>I206</f>
        <v>0</v>
      </c>
      <c r="D28" s="89">
        <f>J206</f>
        <v>0</v>
      </c>
      <c r="E28" s="89">
        <f>K206</f>
        <v>0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14.25" customHeight="1" x14ac:dyDescent="0.25">
      <c r="A29" s="15" t="s">
        <v>552</v>
      </c>
      <c r="B29" s="67" t="s">
        <v>627</v>
      </c>
      <c r="C29" s="89">
        <f>I215</f>
        <v>0</v>
      </c>
      <c r="D29" s="89">
        <f>J215</f>
        <v>0</v>
      </c>
      <c r="E29" s="89">
        <f>K215</f>
        <v>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26.3" customHeight="1" x14ac:dyDescent="0.25">
      <c r="A30" s="15" t="s">
        <v>553</v>
      </c>
      <c r="B30" s="67" t="s">
        <v>628</v>
      </c>
      <c r="C30" s="89">
        <f>I226+L226</f>
        <v>2607844.11</v>
      </c>
      <c r="D30" s="89">
        <f>J226</f>
        <v>1280538</v>
      </c>
      <c r="E30" s="89">
        <f>K226</f>
        <v>1280538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27.7" customHeight="1" x14ac:dyDescent="0.25">
      <c r="A31" s="15" t="s">
        <v>554</v>
      </c>
      <c r="B31" s="67" t="s">
        <v>629</v>
      </c>
      <c r="C31" s="89">
        <f>I235</f>
        <v>25000</v>
      </c>
      <c r="D31" s="89">
        <f>J235</f>
        <v>0</v>
      </c>
      <c r="E31" s="89">
        <f>K235</f>
        <v>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65.3" customHeight="1" x14ac:dyDescent="0.25">
      <c r="A32" s="15" t="s">
        <v>227</v>
      </c>
      <c r="B32" s="95" t="s">
        <v>108</v>
      </c>
      <c r="C32" s="45">
        <v>0</v>
      </c>
      <c r="D32" s="45">
        <v>0</v>
      </c>
      <c r="E32" s="45">
        <v>0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5" ht="39" customHeight="1" x14ac:dyDescent="0.25">
      <c r="A33" s="15" t="s">
        <v>228</v>
      </c>
      <c r="B33" s="95" t="s">
        <v>110</v>
      </c>
      <c r="C33" s="45">
        <v>0</v>
      </c>
      <c r="D33" s="45">
        <v>0</v>
      </c>
      <c r="E33" s="45">
        <v>0</v>
      </c>
      <c r="F33" s="23"/>
      <c r="G33" s="23"/>
      <c r="H33" s="23"/>
      <c r="I33" s="23"/>
      <c r="J33" s="23"/>
      <c r="K33" s="23"/>
      <c r="L33" s="23"/>
      <c r="M33" s="23"/>
      <c r="N33" s="23"/>
    </row>
    <row r="34" spans="1:15" ht="39.450000000000003" x14ac:dyDescent="0.25">
      <c r="A34" s="15" t="s">
        <v>229</v>
      </c>
      <c r="B34" s="95" t="s">
        <v>112</v>
      </c>
      <c r="C34" s="55">
        <f>C10+C11+C12+C32+C33</f>
        <v>15067412.871299999</v>
      </c>
      <c r="D34" s="55">
        <f>D10+D11+D12+D32+D33</f>
        <v>10470905.0013</v>
      </c>
      <c r="E34" s="55">
        <f>E10+E11+E12+E32+E33</f>
        <v>10470905.0013</v>
      </c>
      <c r="F34" s="23"/>
      <c r="G34" s="23"/>
      <c r="H34" s="23"/>
      <c r="I34" s="23"/>
      <c r="J34" s="23"/>
      <c r="K34" s="23"/>
      <c r="L34" s="23"/>
      <c r="M34" s="23"/>
      <c r="N34" s="23"/>
    </row>
    <row r="35" spans="1:15" ht="13.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5" ht="13.15" x14ac:dyDescent="0.25">
      <c r="A36" s="39" t="s">
        <v>555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</row>
    <row r="37" spans="1:15" ht="13.15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</row>
    <row r="38" spans="1:15" ht="14.25" customHeight="1" x14ac:dyDescent="0.2">
      <c r="A38" s="286" t="s">
        <v>199</v>
      </c>
      <c r="B38" s="248" t="s">
        <v>11</v>
      </c>
      <c r="C38" s="261" t="s">
        <v>230</v>
      </c>
      <c r="D38" s="261"/>
      <c r="E38" s="261"/>
      <c r="F38" s="261" t="s">
        <v>231</v>
      </c>
      <c r="G38" s="261"/>
      <c r="H38" s="261"/>
      <c r="I38" s="261" t="s">
        <v>232</v>
      </c>
      <c r="J38" s="261"/>
      <c r="K38" s="261"/>
      <c r="L38" s="261" t="s">
        <v>81</v>
      </c>
      <c r="M38" s="261"/>
      <c r="N38" s="261"/>
      <c r="O38" s="279" t="s">
        <v>672</v>
      </c>
    </row>
    <row r="39" spans="1:15" ht="15.85" customHeight="1" x14ac:dyDescent="0.2">
      <c r="A39" s="287"/>
      <c r="B39" s="248"/>
      <c r="C39" s="142" t="s">
        <v>9</v>
      </c>
      <c r="D39" s="142" t="s">
        <v>571</v>
      </c>
      <c r="E39" s="142" t="s">
        <v>630</v>
      </c>
      <c r="F39" s="142" t="s">
        <v>9</v>
      </c>
      <c r="G39" s="142" t="s">
        <v>571</v>
      </c>
      <c r="H39" s="142" t="s">
        <v>630</v>
      </c>
      <c r="I39" s="142" t="s">
        <v>9</v>
      </c>
      <c r="J39" s="142" t="s">
        <v>571</v>
      </c>
      <c r="K39" s="142" t="s">
        <v>630</v>
      </c>
      <c r="L39" s="142" t="s">
        <v>9</v>
      </c>
      <c r="M39" s="142" t="s">
        <v>571</v>
      </c>
      <c r="N39" s="142" t="s">
        <v>630</v>
      </c>
      <c r="O39" s="280"/>
    </row>
    <row r="40" spans="1:15" ht="50.25" customHeight="1" x14ac:dyDescent="0.2">
      <c r="A40" s="288"/>
      <c r="B40" s="248"/>
      <c r="C40" s="46" t="s">
        <v>82</v>
      </c>
      <c r="D40" s="46" t="s">
        <v>83</v>
      </c>
      <c r="E40" s="46" t="s">
        <v>84</v>
      </c>
      <c r="F40" s="46" t="s">
        <v>82</v>
      </c>
      <c r="G40" s="46" t="s">
        <v>83</v>
      </c>
      <c r="H40" s="46" t="s">
        <v>84</v>
      </c>
      <c r="I40" s="46" t="s">
        <v>82</v>
      </c>
      <c r="J40" s="46" t="s">
        <v>83</v>
      </c>
      <c r="K40" s="46" t="s">
        <v>84</v>
      </c>
      <c r="L40" s="46" t="s">
        <v>82</v>
      </c>
      <c r="M40" s="46" t="s">
        <v>83</v>
      </c>
      <c r="N40" s="46" t="s">
        <v>84</v>
      </c>
      <c r="O40" s="281"/>
    </row>
    <row r="41" spans="1:15" ht="13.15" x14ac:dyDescent="0.2">
      <c r="A41" s="12" t="s">
        <v>19</v>
      </c>
      <c r="B41" s="12" t="s">
        <v>20</v>
      </c>
      <c r="C41" s="12" t="s">
        <v>21</v>
      </c>
      <c r="D41" s="12" t="s">
        <v>22</v>
      </c>
      <c r="E41" s="12" t="s">
        <v>23</v>
      </c>
      <c r="F41" s="12" t="s">
        <v>24</v>
      </c>
      <c r="G41" s="12" t="s">
        <v>25</v>
      </c>
      <c r="H41" s="12" t="s">
        <v>26</v>
      </c>
      <c r="I41" s="12" t="s">
        <v>27</v>
      </c>
      <c r="J41" s="12" t="s">
        <v>28</v>
      </c>
      <c r="K41" s="12" t="s">
        <v>29</v>
      </c>
      <c r="L41" s="12" t="s">
        <v>172</v>
      </c>
      <c r="M41" s="12" t="s">
        <v>203</v>
      </c>
      <c r="N41" s="12" t="s">
        <v>204</v>
      </c>
      <c r="O41" s="184">
        <v>12</v>
      </c>
    </row>
    <row r="42" spans="1:15" s="72" customFormat="1" ht="12.7" customHeight="1" x14ac:dyDescent="0.2">
      <c r="A42" s="73" t="s">
        <v>482</v>
      </c>
      <c r="B42" s="71" t="s">
        <v>31</v>
      </c>
      <c r="C42" s="74">
        <v>5</v>
      </c>
      <c r="D42" s="74">
        <f>C42</f>
        <v>5</v>
      </c>
      <c r="E42" s="74">
        <f>C42</f>
        <v>5</v>
      </c>
      <c r="F42" s="74">
        <v>12</v>
      </c>
      <c r="G42" s="74">
        <f>F42</f>
        <v>12</v>
      </c>
      <c r="H42" s="74">
        <f>F42</f>
        <v>12</v>
      </c>
      <c r="I42" s="76">
        <v>175</v>
      </c>
      <c r="J42" s="76">
        <f>I42</f>
        <v>175</v>
      </c>
      <c r="K42" s="76">
        <f>I42</f>
        <v>175</v>
      </c>
      <c r="L42" s="76">
        <f>C42*F42*I42</f>
        <v>10500</v>
      </c>
      <c r="M42" s="76">
        <f>L42</f>
        <v>10500</v>
      </c>
      <c r="N42" s="76">
        <f>L42</f>
        <v>10500</v>
      </c>
      <c r="O42" s="229">
        <v>0</v>
      </c>
    </row>
    <row r="43" spans="1:15" s="72" customFormat="1" ht="12.05" customHeight="1" x14ac:dyDescent="0.2">
      <c r="A43" s="73" t="s">
        <v>483</v>
      </c>
      <c r="B43" s="47" t="s">
        <v>33</v>
      </c>
      <c r="C43" s="74">
        <v>1</v>
      </c>
      <c r="D43" s="74">
        <f t="shared" ref="D43:D46" si="1">C43</f>
        <v>1</v>
      </c>
      <c r="E43" s="74">
        <f t="shared" ref="E43:E46" si="2">C43</f>
        <v>1</v>
      </c>
      <c r="F43" s="74">
        <v>12</v>
      </c>
      <c r="G43" s="74">
        <f t="shared" ref="G43:G46" si="3">F43</f>
        <v>12</v>
      </c>
      <c r="H43" s="74">
        <f t="shared" ref="H43:H46" si="4">F43</f>
        <v>12</v>
      </c>
      <c r="I43" s="76">
        <v>702</v>
      </c>
      <c r="J43" s="76">
        <f t="shared" ref="J43:J46" si="5">I43</f>
        <v>702</v>
      </c>
      <c r="K43" s="76">
        <f t="shared" ref="K43:K46" si="6">I43</f>
        <v>702</v>
      </c>
      <c r="L43" s="76">
        <f t="shared" ref="L43:L46" si="7">C43*F43*I43</f>
        <v>8424</v>
      </c>
      <c r="M43" s="76">
        <f t="shared" ref="M43:M46" si="8">L43</f>
        <v>8424</v>
      </c>
      <c r="N43" s="76">
        <f t="shared" ref="N43:N46" si="9">L43</f>
        <v>8424</v>
      </c>
      <c r="O43" s="229">
        <v>0</v>
      </c>
    </row>
    <row r="44" spans="1:15" s="72" customFormat="1" ht="12.05" customHeight="1" x14ac:dyDescent="0.2">
      <c r="A44" s="73" t="s">
        <v>484</v>
      </c>
      <c r="B44" s="71" t="s">
        <v>380</v>
      </c>
      <c r="C44" s="74">
        <v>14</v>
      </c>
      <c r="D44" s="74">
        <f t="shared" si="1"/>
        <v>14</v>
      </c>
      <c r="E44" s="74">
        <f t="shared" si="2"/>
        <v>14</v>
      </c>
      <c r="F44" s="74">
        <v>12</v>
      </c>
      <c r="G44" s="74">
        <f t="shared" si="3"/>
        <v>12</v>
      </c>
      <c r="H44" s="74">
        <f t="shared" si="4"/>
        <v>12</v>
      </c>
      <c r="I44" s="76">
        <v>657.85</v>
      </c>
      <c r="J44" s="76">
        <f t="shared" si="5"/>
        <v>657.85</v>
      </c>
      <c r="K44" s="76">
        <f t="shared" si="6"/>
        <v>657.85</v>
      </c>
      <c r="L44" s="76">
        <f>C44*F44*I44+0.2</f>
        <v>110519</v>
      </c>
      <c r="M44" s="76">
        <f t="shared" si="8"/>
        <v>110519</v>
      </c>
      <c r="N44" s="76">
        <f t="shared" si="9"/>
        <v>110519</v>
      </c>
      <c r="O44" s="229">
        <v>0</v>
      </c>
    </row>
    <row r="45" spans="1:15" ht="26.3" customHeight="1" x14ac:dyDescent="0.2">
      <c r="A45" s="15" t="s">
        <v>485</v>
      </c>
      <c r="B45" s="154" t="s">
        <v>428</v>
      </c>
      <c r="C45" s="75">
        <v>5</v>
      </c>
      <c r="D45" s="74">
        <f t="shared" si="1"/>
        <v>5</v>
      </c>
      <c r="E45" s="74">
        <f t="shared" si="2"/>
        <v>5</v>
      </c>
      <c r="F45" s="75">
        <v>12</v>
      </c>
      <c r="G45" s="74">
        <f t="shared" si="3"/>
        <v>12</v>
      </c>
      <c r="H45" s="74">
        <f t="shared" si="4"/>
        <v>12</v>
      </c>
      <c r="I45" s="45">
        <v>420</v>
      </c>
      <c r="J45" s="76">
        <f t="shared" si="5"/>
        <v>420</v>
      </c>
      <c r="K45" s="76">
        <f t="shared" si="6"/>
        <v>420</v>
      </c>
      <c r="L45" s="76">
        <f t="shared" si="7"/>
        <v>25200</v>
      </c>
      <c r="M45" s="76">
        <f t="shared" si="8"/>
        <v>25200</v>
      </c>
      <c r="N45" s="76">
        <f t="shared" si="9"/>
        <v>25200</v>
      </c>
      <c r="O45" s="230">
        <v>0</v>
      </c>
    </row>
    <row r="46" spans="1:15" ht="27.1" customHeight="1" x14ac:dyDescent="0.2">
      <c r="A46" s="15" t="s">
        <v>486</v>
      </c>
      <c r="B46" s="71" t="s">
        <v>427</v>
      </c>
      <c r="C46" s="75">
        <v>1</v>
      </c>
      <c r="D46" s="74">
        <f t="shared" si="1"/>
        <v>1</v>
      </c>
      <c r="E46" s="74">
        <f t="shared" si="2"/>
        <v>1</v>
      </c>
      <c r="F46" s="75">
        <v>12</v>
      </c>
      <c r="G46" s="74">
        <f t="shared" si="3"/>
        <v>12</v>
      </c>
      <c r="H46" s="74">
        <f t="shared" si="4"/>
        <v>12</v>
      </c>
      <c r="I46" s="45">
        <v>4000</v>
      </c>
      <c r="J46" s="76">
        <f t="shared" si="5"/>
        <v>4000</v>
      </c>
      <c r="K46" s="76">
        <f t="shared" si="6"/>
        <v>4000</v>
      </c>
      <c r="L46" s="76">
        <f t="shared" si="7"/>
        <v>48000</v>
      </c>
      <c r="M46" s="76">
        <f t="shared" si="8"/>
        <v>48000</v>
      </c>
      <c r="N46" s="76">
        <f t="shared" si="9"/>
        <v>48000</v>
      </c>
      <c r="O46" s="230">
        <v>25751.11</v>
      </c>
    </row>
    <row r="47" spans="1:15" ht="13.15" x14ac:dyDescent="0.2">
      <c r="A47" s="12" t="s">
        <v>121</v>
      </c>
      <c r="B47" s="67" t="s">
        <v>218</v>
      </c>
      <c r="C47" s="12" t="s">
        <v>1</v>
      </c>
      <c r="D47" s="12" t="s">
        <v>1</v>
      </c>
      <c r="E47" s="12" t="s">
        <v>1</v>
      </c>
      <c r="F47" s="12" t="s">
        <v>1</v>
      </c>
      <c r="G47" s="12" t="s">
        <v>1</v>
      </c>
      <c r="H47" s="12" t="s">
        <v>1</v>
      </c>
      <c r="I47" s="12" t="s">
        <v>1</v>
      </c>
      <c r="J47" s="12" t="s">
        <v>1</v>
      </c>
      <c r="K47" s="12" t="s">
        <v>1</v>
      </c>
      <c r="L47" s="55">
        <f>SUM(L42:L46)</f>
        <v>202643</v>
      </c>
      <c r="M47" s="55">
        <f>SUM(M42:M46)</f>
        <v>202643</v>
      </c>
      <c r="N47" s="55">
        <f>SUM(N42:N46)</f>
        <v>202643</v>
      </c>
      <c r="O47" s="231">
        <f>SUM(O42:O46)</f>
        <v>25751.11</v>
      </c>
    </row>
    <row r="48" spans="1:15" ht="13.15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6" ht="13.15" x14ac:dyDescent="0.25">
      <c r="A49" s="39" t="s">
        <v>556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6" ht="13.15" hidden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6" ht="15.05" hidden="1" customHeight="1" x14ac:dyDescent="0.25">
      <c r="A51" s="286" t="s">
        <v>199</v>
      </c>
      <c r="B51" s="248" t="s">
        <v>233</v>
      </c>
      <c r="C51" s="261" t="s">
        <v>234</v>
      </c>
      <c r="D51" s="261"/>
      <c r="E51" s="261"/>
      <c r="F51" s="261" t="s">
        <v>235</v>
      </c>
      <c r="G51" s="261"/>
      <c r="H51" s="261"/>
      <c r="I51" s="261" t="s">
        <v>81</v>
      </c>
      <c r="J51" s="261"/>
      <c r="K51" s="261"/>
      <c r="L51" s="23"/>
      <c r="M51" s="23"/>
      <c r="N51" s="23"/>
    </row>
    <row r="52" spans="1:16" ht="15.05" hidden="1" customHeight="1" x14ac:dyDescent="0.25">
      <c r="A52" s="287"/>
      <c r="B52" s="248"/>
      <c r="C52" s="154" t="s">
        <v>9</v>
      </c>
      <c r="D52" s="154" t="s">
        <v>571</v>
      </c>
      <c r="E52" s="154" t="s">
        <v>630</v>
      </c>
      <c r="F52" s="154" t="s">
        <v>9</v>
      </c>
      <c r="G52" s="154" t="s">
        <v>571</v>
      </c>
      <c r="H52" s="154" t="s">
        <v>630</v>
      </c>
      <c r="I52" s="154" t="s">
        <v>9</v>
      </c>
      <c r="J52" s="154" t="s">
        <v>571</v>
      </c>
      <c r="K52" s="154" t="s">
        <v>630</v>
      </c>
      <c r="L52" s="23"/>
      <c r="M52" s="23"/>
      <c r="N52" s="23"/>
      <c r="P52" s="108"/>
    </row>
    <row r="53" spans="1:16" ht="52.45" hidden="1" customHeight="1" x14ac:dyDescent="0.25">
      <c r="A53" s="288"/>
      <c r="B53" s="248"/>
      <c r="C53" s="46" t="s">
        <v>82</v>
      </c>
      <c r="D53" s="46" t="s">
        <v>83</v>
      </c>
      <c r="E53" s="46" t="s">
        <v>84</v>
      </c>
      <c r="F53" s="46" t="s">
        <v>82</v>
      </c>
      <c r="G53" s="46" t="s">
        <v>83</v>
      </c>
      <c r="H53" s="46" t="s">
        <v>84</v>
      </c>
      <c r="I53" s="46" t="s">
        <v>82</v>
      </c>
      <c r="J53" s="46" t="s">
        <v>83</v>
      </c>
      <c r="K53" s="46" t="s">
        <v>84</v>
      </c>
      <c r="L53" s="23"/>
      <c r="M53" s="107"/>
      <c r="N53" s="23"/>
    </row>
    <row r="54" spans="1:16" ht="13.15" hidden="1" x14ac:dyDescent="0.25">
      <c r="A54" s="12" t="s">
        <v>19</v>
      </c>
      <c r="B54" s="12" t="s">
        <v>20</v>
      </c>
      <c r="C54" s="12" t="s">
        <v>21</v>
      </c>
      <c r="D54" s="12" t="s">
        <v>22</v>
      </c>
      <c r="E54" s="12" t="s">
        <v>23</v>
      </c>
      <c r="F54" s="12" t="s">
        <v>24</v>
      </c>
      <c r="G54" s="12" t="s">
        <v>25</v>
      </c>
      <c r="H54" s="12" t="s">
        <v>26</v>
      </c>
      <c r="I54" s="12" t="s">
        <v>27</v>
      </c>
      <c r="J54" s="12" t="s">
        <v>28</v>
      </c>
      <c r="K54" s="12" t="s">
        <v>29</v>
      </c>
      <c r="L54" s="23"/>
      <c r="M54" s="23"/>
      <c r="N54" s="23"/>
    </row>
    <row r="55" spans="1:16" ht="14.25" hidden="1" customHeight="1" x14ac:dyDescent="0.25">
      <c r="A55" s="40" t="s">
        <v>487</v>
      </c>
      <c r="B55" s="12" t="s">
        <v>31</v>
      </c>
      <c r="C55" s="47"/>
      <c r="D55" s="47"/>
      <c r="E55" s="47"/>
      <c r="F55" s="45"/>
      <c r="G55" s="45"/>
      <c r="H55" s="45"/>
      <c r="I55" s="45"/>
      <c r="J55" s="45"/>
      <c r="K55" s="45">
        <f>I55</f>
        <v>0</v>
      </c>
      <c r="L55" s="23"/>
      <c r="M55" s="23"/>
      <c r="N55" s="23"/>
    </row>
    <row r="56" spans="1:16" ht="14.25" hidden="1" customHeight="1" x14ac:dyDescent="0.25">
      <c r="A56" s="40" t="s">
        <v>488</v>
      </c>
      <c r="B56" s="12" t="s">
        <v>33</v>
      </c>
      <c r="C56" s="47"/>
      <c r="D56" s="47"/>
      <c r="E56" s="47"/>
      <c r="F56" s="45"/>
      <c r="G56" s="45"/>
      <c r="H56" s="45"/>
      <c r="I56" s="45"/>
      <c r="J56" s="45"/>
      <c r="K56" s="45">
        <f t="shared" ref="K56" si="10">I56</f>
        <v>0</v>
      </c>
      <c r="L56" s="23"/>
      <c r="M56" s="23"/>
      <c r="N56" s="23"/>
    </row>
    <row r="57" spans="1:16" ht="14.25" hidden="1" customHeight="1" x14ac:dyDescent="0.25">
      <c r="A57" s="143" t="s">
        <v>634</v>
      </c>
      <c r="B57" s="142" t="s">
        <v>380</v>
      </c>
      <c r="C57" s="142"/>
      <c r="D57" s="142"/>
      <c r="E57" s="142"/>
      <c r="F57" s="139"/>
      <c r="G57" s="139"/>
      <c r="H57" s="139"/>
      <c r="I57" s="139"/>
      <c r="J57" s="139"/>
      <c r="K57" s="139"/>
      <c r="L57" s="23"/>
      <c r="M57" s="23"/>
      <c r="N57" s="23"/>
    </row>
    <row r="58" spans="1:16" ht="13.15" hidden="1" x14ac:dyDescent="0.25">
      <c r="A58" s="12" t="s">
        <v>121</v>
      </c>
      <c r="B58" s="67" t="s">
        <v>219</v>
      </c>
      <c r="C58" s="12" t="s">
        <v>1</v>
      </c>
      <c r="D58" s="12" t="s">
        <v>1</v>
      </c>
      <c r="E58" s="12" t="s">
        <v>1</v>
      </c>
      <c r="F58" s="45" t="s">
        <v>1</v>
      </c>
      <c r="G58" s="45" t="s">
        <v>1</v>
      </c>
      <c r="H58" s="45" t="s">
        <v>1</v>
      </c>
      <c r="I58" s="55">
        <f>SUM(I55:I57)</f>
        <v>0</v>
      </c>
      <c r="J58" s="140">
        <f t="shared" ref="J58:K58" si="11">SUM(J55:J57)</f>
        <v>0</v>
      </c>
      <c r="K58" s="140">
        <f t="shared" si="11"/>
        <v>0</v>
      </c>
      <c r="L58" s="23"/>
      <c r="M58" s="23"/>
      <c r="N58" s="23"/>
    </row>
    <row r="59" spans="1:16" ht="13.15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6" ht="13.15" x14ac:dyDescent="0.25">
      <c r="A60" s="39" t="s">
        <v>575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6" ht="13.15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6" ht="18.8" customHeight="1" x14ac:dyDescent="0.25">
      <c r="A62" s="286" t="s">
        <v>199</v>
      </c>
      <c r="B62" s="248" t="s">
        <v>11</v>
      </c>
      <c r="C62" s="248" t="s">
        <v>236</v>
      </c>
      <c r="D62" s="248"/>
      <c r="E62" s="248"/>
      <c r="F62" s="261" t="s">
        <v>237</v>
      </c>
      <c r="G62" s="261"/>
      <c r="H62" s="261"/>
      <c r="I62" s="261" t="s">
        <v>81</v>
      </c>
      <c r="J62" s="261"/>
      <c r="K62" s="261"/>
      <c r="L62" s="279" t="s">
        <v>672</v>
      </c>
      <c r="M62" s="23"/>
      <c r="N62" s="23"/>
    </row>
    <row r="63" spans="1:16" ht="16.45" customHeight="1" x14ac:dyDescent="0.25">
      <c r="A63" s="287"/>
      <c r="B63" s="248"/>
      <c r="C63" s="142" t="s">
        <v>9</v>
      </c>
      <c r="D63" s="142" t="s">
        <v>571</v>
      </c>
      <c r="E63" s="142" t="s">
        <v>630</v>
      </c>
      <c r="F63" s="142" t="s">
        <v>9</v>
      </c>
      <c r="G63" s="142" t="s">
        <v>571</v>
      </c>
      <c r="H63" s="142" t="s">
        <v>630</v>
      </c>
      <c r="I63" s="142" t="s">
        <v>9</v>
      </c>
      <c r="J63" s="142" t="s">
        <v>571</v>
      </c>
      <c r="K63" s="142" t="s">
        <v>630</v>
      </c>
      <c r="L63" s="280"/>
      <c r="M63" s="23"/>
      <c r="N63" s="23"/>
    </row>
    <row r="64" spans="1:16" ht="54" customHeight="1" x14ac:dyDescent="0.25">
      <c r="A64" s="288"/>
      <c r="B64" s="248"/>
      <c r="C64" s="37" t="s">
        <v>82</v>
      </c>
      <c r="D64" s="37" t="s">
        <v>83</v>
      </c>
      <c r="E64" s="37" t="s">
        <v>84</v>
      </c>
      <c r="F64" s="37" t="s">
        <v>82</v>
      </c>
      <c r="G64" s="37" t="s">
        <v>83</v>
      </c>
      <c r="H64" s="37" t="s">
        <v>84</v>
      </c>
      <c r="I64" s="37" t="s">
        <v>82</v>
      </c>
      <c r="J64" s="37" t="s">
        <v>83</v>
      </c>
      <c r="K64" s="37" t="s">
        <v>84</v>
      </c>
      <c r="L64" s="281"/>
      <c r="M64" s="23"/>
      <c r="N64" s="23"/>
    </row>
    <row r="65" spans="1:14" ht="13.15" x14ac:dyDescent="0.25">
      <c r="A65" s="12" t="s">
        <v>19</v>
      </c>
      <c r="B65" s="12" t="s">
        <v>20</v>
      </c>
      <c r="C65" s="12" t="s">
        <v>21</v>
      </c>
      <c r="D65" s="12" t="s">
        <v>22</v>
      </c>
      <c r="E65" s="12" t="s">
        <v>23</v>
      </c>
      <c r="F65" s="12" t="s">
        <v>24</v>
      </c>
      <c r="G65" s="12" t="s">
        <v>25</v>
      </c>
      <c r="H65" s="12" t="s">
        <v>26</v>
      </c>
      <c r="I65" s="12" t="s">
        <v>27</v>
      </c>
      <c r="J65" s="12" t="s">
        <v>28</v>
      </c>
      <c r="K65" s="12" t="s">
        <v>29</v>
      </c>
      <c r="L65" s="184">
        <v>12</v>
      </c>
      <c r="M65" s="23"/>
      <c r="N65" s="23"/>
    </row>
    <row r="66" spans="1:14" ht="14.25" customHeight="1" x14ac:dyDescent="0.25">
      <c r="A66" s="15" t="s">
        <v>490</v>
      </c>
      <c r="B66" s="154" t="s">
        <v>380</v>
      </c>
      <c r="C66" s="157">
        <v>2114.1</v>
      </c>
      <c r="D66" s="106">
        <f t="shared" ref="D66:D69" si="12">C66</f>
        <v>2114.1</v>
      </c>
      <c r="E66" s="106">
        <f t="shared" ref="E66:E69" si="13">C66</f>
        <v>2114.1</v>
      </c>
      <c r="F66" s="45">
        <v>34.25</v>
      </c>
      <c r="G66" s="45">
        <f t="shared" ref="G66:G69" si="14">F66</f>
        <v>34.25</v>
      </c>
      <c r="H66" s="45">
        <f t="shared" ref="H66:H69" si="15">F66</f>
        <v>34.25</v>
      </c>
      <c r="I66" s="45">
        <f>C66*F66</f>
        <v>72407.925000000003</v>
      </c>
      <c r="J66" s="45">
        <f t="shared" ref="J66:J69" si="16">I66</f>
        <v>72407.925000000003</v>
      </c>
      <c r="K66" s="45">
        <f t="shared" ref="K66:K69" si="17">I66</f>
        <v>72407.925000000003</v>
      </c>
      <c r="L66" s="182">
        <v>3250</v>
      </c>
      <c r="M66" s="23"/>
      <c r="N66" s="23"/>
    </row>
    <row r="67" spans="1:14" ht="26.3" x14ac:dyDescent="0.25">
      <c r="A67" s="15" t="s">
        <v>491</v>
      </c>
      <c r="B67" s="67" t="s">
        <v>428</v>
      </c>
      <c r="C67" s="156">
        <v>693</v>
      </c>
      <c r="D67" s="103">
        <f t="shared" si="12"/>
        <v>693</v>
      </c>
      <c r="E67" s="103">
        <f t="shared" si="13"/>
        <v>693</v>
      </c>
      <c r="F67" s="45">
        <v>39.82</v>
      </c>
      <c r="G67" s="45">
        <f t="shared" si="14"/>
        <v>39.82</v>
      </c>
      <c r="H67" s="45">
        <f t="shared" si="15"/>
        <v>39.82</v>
      </c>
      <c r="I67" s="45">
        <f>C67*F67+18.4</f>
        <v>27613.66</v>
      </c>
      <c r="J67" s="45">
        <f t="shared" si="16"/>
        <v>27613.66</v>
      </c>
      <c r="K67" s="45">
        <f t="shared" si="17"/>
        <v>27613.66</v>
      </c>
      <c r="L67" s="182">
        <v>0</v>
      </c>
      <c r="M67" s="107"/>
      <c r="N67" s="23"/>
    </row>
    <row r="68" spans="1:14" ht="13.5" customHeight="1" x14ac:dyDescent="0.25">
      <c r="A68" s="15" t="s">
        <v>570</v>
      </c>
      <c r="B68" s="154" t="s">
        <v>427</v>
      </c>
      <c r="C68" s="157">
        <v>283.5</v>
      </c>
      <c r="D68" s="106">
        <f t="shared" si="12"/>
        <v>283.5</v>
      </c>
      <c r="E68" s="106">
        <f t="shared" si="13"/>
        <v>283.5</v>
      </c>
      <c r="F68" s="45">
        <v>1184.5899999999999</v>
      </c>
      <c r="G68" s="45">
        <f t="shared" si="14"/>
        <v>1184.5899999999999</v>
      </c>
      <c r="H68" s="45">
        <f t="shared" si="15"/>
        <v>1184.5899999999999</v>
      </c>
      <c r="I68" s="45">
        <f>C68*F68</f>
        <v>335831.26499999996</v>
      </c>
      <c r="J68" s="45">
        <f t="shared" si="16"/>
        <v>335831.26499999996</v>
      </c>
      <c r="K68" s="45">
        <f t="shared" si="17"/>
        <v>335831.26499999996</v>
      </c>
      <c r="L68" s="182">
        <v>0</v>
      </c>
      <c r="M68" s="23"/>
      <c r="N68" s="23"/>
    </row>
    <row r="69" spans="1:14" ht="13.5" customHeight="1" x14ac:dyDescent="0.25">
      <c r="A69" s="15" t="s">
        <v>495</v>
      </c>
      <c r="B69" s="67" t="s">
        <v>429</v>
      </c>
      <c r="C69" s="158">
        <v>0</v>
      </c>
      <c r="D69" s="53">
        <f t="shared" si="12"/>
        <v>0</v>
      </c>
      <c r="E69" s="53">
        <f t="shared" si="13"/>
        <v>0</v>
      </c>
      <c r="F69" s="45">
        <v>23333.33</v>
      </c>
      <c r="G69" s="45">
        <f t="shared" si="14"/>
        <v>23333.33</v>
      </c>
      <c r="H69" s="45">
        <f t="shared" si="15"/>
        <v>23333.33</v>
      </c>
      <c r="I69" s="45">
        <v>280000</v>
      </c>
      <c r="J69" s="45">
        <f t="shared" si="16"/>
        <v>280000</v>
      </c>
      <c r="K69" s="45">
        <f t="shared" si="17"/>
        <v>280000</v>
      </c>
      <c r="L69" s="182">
        <v>0</v>
      </c>
      <c r="M69" s="107"/>
      <c r="N69" s="23"/>
    </row>
    <row r="70" spans="1:14" ht="14.25" customHeight="1" x14ac:dyDescent="0.25">
      <c r="A70" s="12" t="s">
        <v>121</v>
      </c>
      <c r="B70" s="67" t="s">
        <v>220</v>
      </c>
      <c r="C70" s="12" t="s">
        <v>1</v>
      </c>
      <c r="D70" s="12" t="s">
        <v>1</v>
      </c>
      <c r="E70" s="12" t="s">
        <v>1</v>
      </c>
      <c r="F70" s="45" t="s">
        <v>1</v>
      </c>
      <c r="G70" s="45" t="s">
        <v>1</v>
      </c>
      <c r="H70" s="45" t="s">
        <v>1</v>
      </c>
      <c r="I70" s="80">
        <f>SUM(I66:I69)</f>
        <v>715852.85</v>
      </c>
      <c r="J70" s="80">
        <f>SUM(J66:J69)</f>
        <v>715852.85</v>
      </c>
      <c r="K70" s="80">
        <f>SUM(K66:K69)</f>
        <v>715852.85</v>
      </c>
      <c r="L70" s="183">
        <f>SUM(L66:L69)</f>
        <v>3250</v>
      </c>
      <c r="M70" s="107"/>
      <c r="N70" s="23"/>
    </row>
    <row r="71" spans="1:14" ht="13.15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107"/>
      <c r="N71" s="23"/>
    </row>
    <row r="72" spans="1:14" ht="13.15" x14ac:dyDescent="0.25">
      <c r="A72" s="39" t="s">
        <v>576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107"/>
      <c r="M72" s="23"/>
      <c r="N72" s="23"/>
    </row>
    <row r="73" spans="1:14" ht="13.15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107"/>
      <c r="N73" s="23"/>
    </row>
    <row r="74" spans="1:14" ht="12.7" customHeight="1" x14ac:dyDescent="0.25">
      <c r="A74" s="286" t="s">
        <v>199</v>
      </c>
      <c r="B74" s="248" t="s">
        <v>11</v>
      </c>
      <c r="C74" s="248" t="s">
        <v>236</v>
      </c>
      <c r="D74" s="248"/>
      <c r="E74" s="248"/>
      <c r="F74" s="261" t="s">
        <v>237</v>
      </c>
      <c r="G74" s="261"/>
      <c r="H74" s="261"/>
      <c r="I74" s="261" t="s">
        <v>81</v>
      </c>
      <c r="J74" s="261"/>
      <c r="K74" s="261"/>
      <c r="L74" s="279" t="s">
        <v>672</v>
      </c>
      <c r="M74" s="23"/>
      <c r="N74" s="23"/>
    </row>
    <row r="75" spans="1:14" ht="13.15" x14ac:dyDescent="0.25">
      <c r="A75" s="287"/>
      <c r="B75" s="248"/>
      <c r="C75" s="142" t="s">
        <v>9</v>
      </c>
      <c r="D75" s="142" t="s">
        <v>571</v>
      </c>
      <c r="E75" s="142" t="s">
        <v>630</v>
      </c>
      <c r="F75" s="142" t="s">
        <v>9</v>
      </c>
      <c r="G75" s="142" t="s">
        <v>571</v>
      </c>
      <c r="H75" s="142" t="s">
        <v>630</v>
      </c>
      <c r="I75" s="142" t="s">
        <v>9</v>
      </c>
      <c r="J75" s="142" t="s">
        <v>571</v>
      </c>
      <c r="K75" s="142" t="s">
        <v>630</v>
      </c>
      <c r="L75" s="280"/>
      <c r="M75" s="23"/>
      <c r="N75" s="23"/>
    </row>
    <row r="76" spans="1:14" ht="39.450000000000003" x14ac:dyDescent="0.25">
      <c r="A76" s="288"/>
      <c r="B76" s="248"/>
      <c r="C76" s="100" t="s">
        <v>82</v>
      </c>
      <c r="D76" s="100" t="s">
        <v>83</v>
      </c>
      <c r="E76" s="100" t="s">
        <v>84</v>
      </c>
      <c r="F76" s="100" t="s">
        <v>82</v>
      </c>
      <c r="G76" s="100" t="s">
        <v>83</v>
      </c>
      <c r="H76" s="100" t="s">
        <v>84</v>
      </c>
      <c r="I76" s="100" t="s">
        <v>82</v>
      </c>
      <c r="J76" s="100" t="s">
        <v>83</v>
      </c>
      <c r="K76" s="100" t="s">
        <v>84</v>
      </c>
      <c r="L76" s="281"/>
      <c r="M76" s="107"/>
      <c r="N76" s="107"/>
    </row>
    <row r="77" spans="1:14" ht="13.15" x14ac:dyDescent="0.25">
      <c r="A77" s="101" t="s">
        <v>19</v>
      </c>
      <c r="B77" s="101" t="s">
        <v>20</v>
      </c>
      <c r="C77" s="101" t="s">
        <v>21</v>
      </c>
      <c r="D77" s="101" t="s">
        <v>22</v>
      </c>
      <c r="E77" s="101" t="s">
        <v>23</v>
      </c>
      <c r="F77" s="101" t="s">
        <v>24</v>
      </c>
      <c r="G77" s="101" t="s">
        <v>25</v>
      </c>
      <c r="H77" s="101" t="s">
        <v>26</v>
      </c>
      <c r="I77" s="101" t="s">
        <v>27</v>
      </c>
      <c r="J77" s="101" t="s">
        <v>28</v>
      </c>
      <c r="K77" s="101" t="s">
        <v>29</v>
      </c>
      <c r="L77" s="184">
        <v>12</v>
      </c>
      <c r="M77" s="107"/>
      <c r="N77" s="23"/>
    </row>
    <row r="78" spans="1:14" ht="13.15" x14ac:dyDescent="0.25">
      <c r="A78" s="2" t="s">
        <v>492</v>
      </c>
      <c r="B78" s="237" t="s">
        <v>31</v>
      </c>
      <c r="C78" s="237">
        <v>52.548000000000002</v>
      </c>
      <c r="D78" s="237">
        <f t="shared" ref="D78:D79" si="18">C78</f>
        <v>52.548000000000002</v>
      </c>
      <c r="E78" s="237">
        <f t="shared" ref="E78:E79" si="19">C78</f>
        <v>52.548000000000002</v>
      </c>
      <c r="F78" s="237">
        <v>3131.75</v>
      </c>
      <c r="G78" s="237">
        <f t="shared" ref="G78:G79" si="20">F78</f>
        <v>3131.75</v>
      </c>
      <c r="H78" s="237">
        <f t="shared" ref="H78:H79" si="21">F78</f>
        <v>3131.75</v>
      </c>
      <c r="I78" s="236">
        <f>C78*F78</f>
        <v>164567.19899999999</v>
      </c>
      <c r="J78" s="236">
        <f t="shared" ref="J78:J79" si="22">I78</f>
        <v>164567.19899999999</v>
      </c>
      <c r="K78" s="236">
        <f t="shared" ref="K78:K79" si="23">I78</f>
        <v>164567.19899999999</v>
      </c>
      <c r="L78" s="236">
        <v>173622.99</v>
      </c>
      <c r="M78" s="107"/>
      <c r="N78" s="23"/>
    </row>
    <row r="79" spans="1:14" ht="13.15" x14ac:dyDescent="0.25">
      <c r="A79" s="2" t="s">
        <v>493</v>
      </c>
      <c r="B79" s="237" t="s">
        <v>33</v>
      </c>
      <c r="C79" s="237">
        <v>897.12</v>
      </c>
      <c r="D79" s="237">
        <f t="shared" si="18"/>
        <v>897.12</v>
      </c>
      <c r="E79" s="237">
        <f t="shared" si="19"/>
        <v>897.12</v>
      </c>
      <c r="F79" s="237">
        <v>64.790000000000006</v>
      </c>
      <c r="G79" s="237">
        <f t="shared" si="20"/>
        <v>64.790000000000006</v>
      </c>
      <c r="H79" s="237">
        <f t="shared" si="21"/>
        <v>64.790000000000006</v>
      </c>
      <c r="I79" s="236">
        <f>C79*F79</f>
        <v>58124.404800000004</v>
      </c>
      <c r="J79" s="236">
        <f t="shared" si="22"/>
        <v>58124.404800000004</v>
      </c>
      <c r="K79" s="236">
        <f t="shared" si="23"/>
        <v>58124.404800000004</v>
      </c>
      <c r="L79" s="236">
        <v>12700</v>
      </c>
      <c r="M79" s="107"/>
      <c r="N79" s="23"/>
    </row>
    <row r="80" spans="1:14" ht="13.15" x14ac:dyDescent="0.25">
      <c r="A80" s="15" t="s">
        <v>489</v>
      </c>
      <c r="B80" s="101" t="s">
        <v>31</v>
      </c>
      <c r="C80" s="156">
        <v>428.25</v>
      </c>
      <c r="D80" s="103">
        <f>C80</f>
        <v>428.25</v>
      </c>
      <c r="E80" s="103">
        <f>C80</f>
        <v>428.25</v>
      </c>
      <c r="F80" s="98">
        <v>3131.75</v>
      </c>
      <c r="G80" s="98">
        <f>F80</f>
        <v>3131.75</v>
      </c>
      <c r="H80" s="98">
        <f>F80</f>
        <v>3131.75</v>
      </c>
      <c r="I80" s="98">
        <f>C80*F80+548.09</f>
        <v>1341720.0275000001</v>
      </c>
      <c r="J80" s="98">
        <f>I80</f>
        <v>1341720.0275000001</v>
      </c>
      <c r="K80" s="98">
        <f>I80</f>
        <v>1341720.0275000001</v>
      </c>
      <c r="L80" s="65">
        <v>604680.64</v>
      </c>
      <c r="M80" s="107"/>
      <c r="N80" s="107"/>
    </row>
    <row r="81" spans="1:14" ht="13.15" x14ac:dyDescent="0.25">
      <c r="A81" s="15" t="s">
        <v>494</v>
      </c>
      <c r="B81" s="124" t="s">
        <v>33</v>
      </c>
      <c r="C81" s="158">
        <v>209653</v>
      </c>
      <c r="D81" s="53">
        <f t="shared" ref="D81" si="24">C81</f>
        <v>209653</v>
      </c>
      <c r="E81" s="53">
        <f t="shared" ref="E81" si="25">C81</f>
        <v>209653</v>
      </c>
      <c r="F81" s="98">
        <v>5.84</v>
      </c>
      <c r="G81" s="98">
        <f t="shared" ref="G81" si="26">F81</f>
        <v>5.84</v>
      </c>
      <c r="H81" s="98">
        <f t="shared" ref="H81" si="27">F81</f>
        <v>5.84</v>
      </c>
      <c r="I81" s="98">
        <f>C81*F81+0.48</f>
        <v>1224374</v>
      </c>
      <c r="J81" s="98">
        <f t="shared" ref="J81" si="28">I81</f>
        <v>1224374</v>
      </c>
      <c r="K81" s="98">
        <f t="shared" ref="K81" si="29">I81</f>
        <v>1224374</v>
      </c>
      <c r="L81" s="65">
        <v>0</v>
      </c>
      <c r="M81" s="107"/>
      <c r="N81" s="23"/>
    </row>
    <row r="82" spans="1:14" ht="13.15" x14ac:dyDescent="0.25">
      <c r="A82" s="101" t="s">
        <v>121</v>
      </c>
      <c r="B82" s="67" t="s">
        <v>221</v>
      </c>
      <c r="C82" s="101" t="s">
        <v>1</v>
      </c>
      <c r="D82" s="101" t="s">
        <v>1</v>
      </c>
      <c r="E82" s="101" t="s">
        <v>1</v>
      </c>
      <c r="F82" s="98" t="s">
        <v>1</v>
      </c>
      <c r="G82" s="98" t="s">
        <v>1</v>
      </c>
      <c r="H82" s="98" t="s">
        <v>1</v>
      </c>
      <c r="I82" s="80">
        <f>SUM(I80:I81)-0.48+I78+I79</f>
        <v>2788785.1513</v>
      </c>
      <c r="J82" s="99">
        <f>SUM(J80:J81)-0.48+J78+J79</f>
        <v>2788785.1513</v>
      </c>
      <c r="K82" s="99">
        <f>SUM(K80:K81)-0.48+K78+K79</f>
        <v>2788785.1513</v>
      </c>
      <c r="L82" s="80">
        <f>SUM(L80:L81)+L78+L79</f>
        <v>791003.63</v>
      </c>
      <c r="M82" s="23"/>
      <c r="N82" s="23"/>
    </row>
    <row r="83" spans="1:14" ht="13.15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107"/>
    </row>
    <row r="84" spans="1:14" ht="13.15" x14ac:dyDescent="0.25">
      <c r="A84" s="39" t="s">
        <v>557</v>
      </c>
      <c r="B84" s="23"/>
      <c r="C84" s="23"/>
      <c r="D84" s="23"/>
      <c r="E84" s="23"/>
      <c r="F84" s="23"/>
      <c r="G84" s="23"/>
      <c r="H84" s="23"/>
      <c r="I84" s="107"/>
      <c r="J84" s="23"/>
      <c r="K84" s="23"/>
      <c r="L84" s="23"/>
      <c r="M84" s="23"/>
      <c r="N84" s="23"/>
    </row>
    <row r="85" spans="1:14" ht="13.15" hidden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27.1" hidden="1" customHeight="1" x14ac:dyDescent="0.2">
      <c r="A86" s="248" t="s">
        <v>199</v>
      </c>
      <c r="B86" s="248" t="s">
        <v>11</v>
      </c>
      <c r="C86" s="248" t="s">
        <v>238</v>
      </c>
      <c r="D86" s="248"/>
      <c r="E86" s="248"/>
      <c r="F86" s="248" t="s">
        <v>239</v>
      </c>
      <c r="G86" s="248"/>
      <c r="H86" s="248"/>
      <c r="I86" s="248" t="s">
        <v>240</v>
      </c>
      <c r="J86" s="248"/>
      <c r="K86" s="248"/>
      <c r="L86" s="261" t="s">
        <v>81</v>
      </c>
      <c r="M86" s="261"/>
      <c r="N86" s="261"/>
    </row>
    <row r="87" spans="1:14" ht="15.85" hidden="1" customHeight="1" x14ac:dyDescent="0.2">
      <c r="A87" s="248"/>
      <c r="B87" s="248"/>
      <c r="C87" s="11" t="s">
        <v>7</v>
      </c>
      <c r="D87" s="11" t="s">
        <v>8</v>
      </c>
      <c r="E87" s="11" t="s">
        <v>9</v>
      </c>
      <c r="F87" s="11" t="s">
        <v>7</v>
      </c>
      <c r="G87" s="11" t="s">
        <v>8</v>
      </c>
      <c r="H87" s="11" t="s">
        <v>9</v>
      </c>
      <c r="I87" s="11" t="s">
        <v>7</v>
      </c>
      <c r="J87" s="11" t="s">
        <v>8</v>
      </c>
      <c r="K87" s="11" t="s">
        <v>9</v>
      </c>
      <c r="L87" s="11" t="s">
        <v>7</v>
      </c>
      <c r="M87" s="11" t="s">
        <v>8</v>
      </c>
      <c r="N87" s="11" t="s">
        <v>9</v>
      </c>
    </row>
    <row r="88" spans="1:14" ht="39.450000000000003" hidden="1" x14ac:dyDescent="0.2">
      <c r="A88" s="248"/>
      <c r="B88" s="248"/>
      <c r="C88" s="46" t="s">
        <v>82</v>
      </c>
      <c r="D88" s="46" t="s">
        <v>83</v>
      </c>
      <c r="E88" s="46" t="s">
        <v>84</v>
      </c>
      <c r="F88" s="46" t="s">
        <v>82</v>
      </c>
      <c r="G88" s="46" t="s">
        <v>83</v>
      </c>
      <c r="H88" s="46" t="s">
        <v>84</v>
      </c>
      <c r="I88" s="46" t="s">
        <v>82</v>
      </c>
      <c r="J88" s="46" t="s">
        <v>83</v>
      </c>
      <c r="K88" s="46" t="s">
        <v>84</v>
      </c>
      <c r="L88" s="46" t="s">
        <v>82</v>
      </c>
      <c r="M88" s="46" t="s">
        <v>83</v>
      </c>
      <c r="N88" s="46" t="s">
        <v>84</v>
      </c>
    </row>
    <row r="89" spans="1:14" ht="13.15" hidden="1" x14ac:dyDescent="0.2">
      <c r="A89" s="12" t="s">
        <v>19</v>
      </c>
      <c r="B89" s="12" t="s">
        <v>20</v>
      </c>
      <c r="C89" s="12" t="s">
        <v>21</v>
      </c>
      <c r="D89" s="12" t="s">
        <v>22</v>
      </c>
      <c r="E89" s="12" t="s">
        <v>23</v>
      </c>
      <c r="F89" s="12" t="s">
        <v>24</v>
      </c>
      <c r="G89" s="12" t="s">
        <v>25</v>
      </c>
      <c r="H89" s="12" t="s">
        <v>26</v>
      </c>
      <c r="I89" s="12" t="s">
        <v>27</v>
      </c>
      <c r="J89" s="12" t="s">
        <v>28</v>
      </c>
      <c r="K89" s="12" t="s">
        <v>29</v>
      </c>
      <c r="L89" s="12" t="s">
        <v>172</v>
      </c>
      <c r="M89" s="12" t="s">
        <v>203</v>
      </c>
      <c r="N89" s="12" t="s">
        <v>204</v>
      </c>
    </row>
    <row r="90" spans="1:14" ht="13.15" hidden="1" x14ac:dyDescent="0.2">
      <c r="A90" s="40"/>
      <c r="B90" s="12" t="s">
        <v>31</v>
      </c>
      <c r="C90" s="47"/>
      <c r="D90" s="47"/>
      <c r="E90" s="47"/>
      <c r="F90" s="47"/>
      <c r="G90" s="47"/>
      <c r="H90" s="47"/>
      <c r="I90" s="47"/>
      <c r="J90" s="47"/>
      <c r="K90" s="47"/>
      <c r="L90" s="45"/>
      <c r="M90" s="45"/>
      <c r="N90" s="45"/>
    </row>
    <row r="91" spans="1:14" ht="13.15" hidden="1" x14ac:dyDescent="0.2">
      <c r="A91" s="12" t="s">
        <v>121</v>
      </c>
      <c r="B91" s="67" t="s">
        <v>221</v>
      </c>
      <c r="C91" s="12" t="s">
        <v>1</v>
      </c>
      <c r="D91" s="12" t="s">
        <v>1</v>
      </c>
      <c r="E91" s="12" t="s">
        <v>1</v>
      </c>
      <c r="F91" s="12" t="s">
        <v>1</v>
      </c>
      <c r="G91" s="12" t="s">
        <v>1</v>
      </c>
      <c r="H91" s="12" t="s">
        <v>1</v>
      </c>
      <c r="I91" s="12" t="s">
        <v>1</v>
      </c>
      <c r="J91" s="12" t="s">
        <v>1</v>
      </c>
      <c r="K91" s="12" t="s">
        <v>1</v>
      </c>
      <c r="L91" s="55"/>
      <c r="M91" s="55"/>
      <c r="N91" s="55"/>
    </row>
    <row r="92" spans="1:14" ht="13.15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</row>
    <row r="93" spans="1:14" ht="13.15" x14ac:dyDescent="0.25">
      <c r="A93" s="39" t="s">
        <v>558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</row>
    <row r="94" spans="1:14" ht="13.1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</row>
    <row r="95" spans="1:14" ht="13.5" customHeight="1" x14ac:dyDescent="0.25">
      <c r="A95" s="286" t="s">
        <v>199</v>
      </c>
      <c r="B95" s="248" t="s">
        <v>11</v>
      </c>
      <c r="C95" s="261" t="s">
        <v>241</v>
      </c>
      <c r="D95" s="261"/>
      <c r="E95" s="261"/>
      <c r="F95" s="261" t="s">
        <v>242</v>
      </c>
      <c r="G95" s="261"/>
      <c r="H95" s="261"/>
      <c r="I95" s="261" t="s">
        <v>81</v>
      </c>
      <c r="J95" s="261"/>
      <c r="K95" s="261"/>
      <c r="L95" s="279" t="s">
        <v>672</v>
      </c>
      <c r="M95" s="23"/>
      <c r="N95" s="23"/>
    </row>
    <row r="96" spans="1:14" ht="15.85" customHeight="1" x14ac:dyDescent="0.25">
      <c r="A96" s="287"/>
      <c r="B96" s="248"/>
      <c r="C96" s="142" t="s">
        <v>9</v>
      </c>
      <c r="D96" s="142" t="s">
        <v>571</v>
      </c>
      <c r="E96" s="142" t="s">
        <v>630</v>
      </c>
      <c r="F96" s="142" t="s">
        <v>9</v>
      </c>
      <c r="G96" s="142" t="s">
        <v>571</v>
      </c>
      <c r="H96" s="142" t="s">
        <v>630</v>
      </c>
      <c r="I96" s="142" t="s">
        <v>9</v>
      </c>
      <c r="J96" s="142" t="s">
        <v>571</v>
      </c>
      <c r="K96" s="142" t="s">
        <v>630</v>
      </c>
      <c r="L96" s="280"/>
      <c r="M96" s="23"/>
      <c r="N96" s="23"/>
    </row>
    <row r="97" spans="1:14" ht="52.45" customHeight="1" x14ac:dyDescent="0.25">
      <c r="A97" s="288"/>
      <c r="B97" s="248"/>
      <c r="C97" s="37" t="s">
        <v>82</v>
      </c>
      <c r="D97" s="37" t="s">
        <v>83</v>
      </c>
      <c r="E97" s="37" t="s">
        <v>84</v>
      </c>
      <c r="F97" s="37" t="s">
        <v>82</v>
      </c>
      <c r="G97" s="37" t="s">
        <v>83</v>
      </c>
      <c r="H97" s="37" t="s">
        <v>84</v>
      </c>
      <c r="I97" s="37" t="s">
        <v>82</v>
      </c>
      <c r="J97" s="37" t="s">
        <v>83</v>
      </c>
      <c r="K97" s="37" t="s">
        <v>84</v>
      </c>
      <c r="L97" s="281"/>
      <c r="M97" s="23"/>
      <c r="N97" s="23"/>
    </row>
    <row r="98" spans="1:14" ht="13.15" x14ac:dyDescent="0.25">
      <c r="A98" s="12" t="s">
        <v>19</v>
      </c>
      <c r="B98" s="12" t="s">
        <v>20</v>
      </c>
      <c r="C98" s="12" t="s">
        <v>21</v>
      </c>
      <c r="D98" s="12" t="s">
        <v>22</v>
      </c>
      <c r="E98" s="12" t="s">
        <v>23</v>
      </c>
      <c r="F98" s="12" t="s">
        <v>24</v>
      </c>
      <c r="G98" s="12" t="s">
        <v>25</v>
      </c>
      <c r="H98" s="12" t="s">
        <v>26</v>
      </c>
      <c r="I98" s="12" t="s">
        <v>27</v>
      </c>
      <c r="J98" s="12" t="s">
        <v>28</v>
      </c>
      <c r="K98" s="12" t="s">
        <v>29</v>
      </c>
      <c r="L98" s="184">
        <v>12</v>
      </c>
      <c r="M98" s="23"/>
      <c r="N98" s="23"/>
    </row>
    <row r="99" spans="1:14" ht="12.7" customHeight="1" x14ac:dyDescent="0.25">
      <c r="A99" s="15" t="s">
        <v>496</v>
      </c>
      <c r="B99" s="12" t="s">
        <v>31</v>
      </c>
      <c r="C99" s="75">
        <v>1</v>
      </c>
      <c r="D99" s="75">
        <f>C99</f>
        <v>1</v>
      </c>
      <c r="E99" s="75">
        <f>C99</f>
        <v>1</v>
      </c>
      <c r="F99" s="75">
        <v>1</v>
      </c>
      <c r="G99" s="75">
        <f>F99</f>
        <v>1</v>
      </c>
      <c r="H99" s="75">
        <f>F99</f>
        <v>1</v>
      </c>
      <c r="I99" s="65">
        <v>360000</v>
      </c>
      <c r="J99" s="45">
        <f>I99</f>
        <v>360000</v>
      </c>
      <c r="K99" s="45">
        <f>I99</f>
        <v>360000</v>
      </c>
      <c r="L99" s="182">
        <v>0</v>
      </c>
      <c r="M99" s="23"/>
      <c r="N99" s="23"/>
    </row>
    <row r="100" spans="1:14" ht="14.25" customHeight="1" x14ac:dyDescent="0.25">
      <c r="A100" s="15" t="s">
        <v>497</v>
      </c>
      <c r="B100" s="47" t="s">
        <v>33</v>
      </c>
      <c r="C100" s="75">
        <v>1</v>
      </c>
      <c r="D100" s="75">
        <f t="shared" ref="D100:D111" si="30">C100</f>
        <v>1</v>
      </c>
      <c r="E100" s="75">
        <f t="shared" ref="E100:E111" si="31">C100</f>
        <v>1</v>
      </c>
      <c r="F100" s="75">
        <v>1</v>
      </c>
      <c r="G100" s="75">
        <f t="shared" ref="G100:G111" si="32">F100</f>
        <v>1</v>
      </c>
      <c r="H100" s="75">
        <f t="shared" ref="H100:H112" si="33">F100</f>
        <v>1</v>
      </c>
      <c r="I100" s="65">
        <v>169722</v>
      </c>
      <c r="J100" s="45">
        <f t="shared" ref="J100:J113" si="34">I100</f>
        <v>169722</v>
      </c>
      <c r="K100" s="45">
        <f t="shared" ref="K100:K114" si="35">I100</f>
        <v>169722</v>
      </c>
      <c r="L100" s="182">
        <v>0</v>
      </c>
      <c r="M100" s="23"/>
      <c r="N100" s="23"/>
    </row>
    <row r="101" spans="1:14" ht="38.200000000000003" customHeight="1" x14ac:dyDescent="0.25">
      <c r="A101" s="15" t="s">
        <v>578</v>
      </c>
      <c r="B101" s="175" t="s">
        <v>380</v>
      </c>
      <c r="C101" s="75">
        <v>1</v>
      </c>
      <c r="D101" s="75">
        <v>1</v>
      </c>
      <c r="E101" s="75">
        <v>1</v>
      </c>
      <c r="F101" s="75">
        <v>1</v>
      </c>
      <c r="G101" s="75">
        <v>1</v>
      </c>
      <c r="H101" s="75">
        <v>1</v>
      </c>
      <c r="I101" s="65">
        <v>142608</v>
      </c>
      <c r="J101" s="65">
        <v>142608</v>
      </c>
      <c r="K101" s="65">
        <v>142608</v>
      </c>
      <c r="L101" s="182">
        <v>0</v>
      </c>
      <c r="M101" s="23"/>
      <c r="N101" s="23"/>
    </row>
    <row r="102" spans="1:14" ht="13.5" customHeight="1" x14ac:dyDescent="0.25">
      <c r="A102" s="15" t="s">
        <v>498</v>
      </c>
      <c r="B102" s="175" t="s">
        <v>428</v>
      </c>
      <c r="C102" s="75">
        <v>1</v>
      </c>
      <c r="D102" s="75">
        <f t="shared" si="30"/>
        <v>1</v>
      </c>
      <c r="E102" s="75">
        <f t="shared" si="31"/>
        <v>1</v>
      </c>
      <c r="F102" s="75">
        <v>1</v>
      </c>
      <c r="G102" s="75">
        <f t="shared" si="32"/>
        <v>1</v>
      </c>
      <c r="H102" s="75">
        <f t="shared" si="33"/>
        <v>1</v>
      </c>
      <c r="I102" s="65">
        <v>72000</v>
      </c>
      <c r="J102" s="45">
        <f t="shared" si="34"/>
        <v>72000</v>
      </c>
      <c r="K102" s="45">
        <f t="shared" si="35"/>
        <v>72000</v>
      </c>
      <c r="L102" s="182">
        <v>0</v>
      </c>
      <c r="M102" s="23"/>
      <c r="N102" s="23"/>
    </row>
    <row r="103" spans="1:14" ht="15.05" customHeight="1" x14ac:dyDescent="0.25">
      <c r="A103" s="15" t="s">
        <v>499</v>
      </c>
      <c r="B103" s="175" t="s">
        <v>427</v>
      </c>
      <c r="C103" s="75">
        <v>1</v>
      </c>
      <c r="D103" s="75">
        <f t="shared" si="30"/>
        <v>1</v>
      </c>
      <c r="E103" s="75">
        <f t="shared" si="31"/>
        <v>1</v>
      </c>
      <c r="F103" s="75">
        <v>1</v>
      </c>
      <c r="G103" s="75">
        <f t="shared" si="32"/>
        <v>1</v>
      </c>
      <c r="H103" s="75">
        <f t="shared" si="33"/>
        <v>1</v>
      </c>
      <c r="I103" s="65">
        <v>20000</v>
      </c>
      <c r="J103" s="45">
        <f t="shared" si="34"/>
        <v>20000</v>
      </c>
      <c r="K103" s="45">
        <f t="shared" si="35"/>
        <v>20000</v>
      </c>
      <c r="L103" s="182">
        <v>0</v>
      </c>
      <c r="M103" s="23"/>
      <c r="N103" s="23"/>
    </row>
    <row r="104" spans="1:14" ht="25.55" customHeight="1" x14ac:dyDescent="0.25">
      <c r="A104" s="15" t="s">
        <v>500</v>
      </c>
      <c r="B104" s="175" t="s">
        <v>429</v>
      </c>
      <c r="C104" s="75">
        <v>1</v>
      </c>
      <c r="D104" s="75">
        <f t="shared" si="30"/>
        <v>1</v>
      </c>
      <c r="E104" s="75">
        <f t="shared" si="31"/>
        <v>1</v>
      </c>
      <c r="F104" s="75">
        <v>1</v>
      </c>
      <c r="G104" s="75">
        <f t="shared" si="32"/>
        <v>1</v>
      </c>
      <c r="H104" s="75">
        <f t="shared" si="33"/>
        <v>1</v>
      </c>
      <c r="I104" s="65">
        <v>118800</v>
      </c>
      <c r="J104" s="45">
        <f t="shared" si="34"/>
        <v>118800</v>
      </c>
      <c r="K104" s="45">
        <f t="shared" si="35"/>
        <v>118800</v>
      </c>
      <c r="L104" s="182">
        <v>0</v>
      </c>
      <c r="M104" s="23"/>
      <c r="N104" s="23"/>
    </row>
    <row r="105" spans="1:14" ht="14.25" customHeight="1" x14ac:dyDescent="0.25">
      <c r="A105" s="15" t="s">
        <v>501</v>
      </c>
      <c r="B105" s="175" t="s">
        <v>430</v>
      </c>
      <c r="C105" s="75">
        <v>1</v>
      </c>
      <c r="D105" s="75">
        <f t="shared" si="30"/>
        <v>1</v>
      </c>
      <c r="E105" s="75">
        <f t="shared" si="31"/>
        <v>1</v>
      </c>
      <c r="F105" s="75">
        <v>1</v>
      </c>
      <c r="G105" s="75">
        <f t="shared" si="32"/>
        <v>1</v>
      </c>
      <c r="H105" s="75">
        <f t="shared" si="33"/>
        <v>1</v>
      </c>
      <c r="I105" s="65">
        <v>388800</v>
      </c>
      <c r="J105" s="45">
        <f t="shared" si="34"/>
        <v>388800</v>
      </c>
      <c r="K105" s="45">
        <f t="shared" si="35"/>
        <v>388800</v>
      </c>
      <c r="L105" s="182">
        <v>0</v>
      </c>
      <c r="M105" s="23"/>
      <c r="N105" s="23"/>
    </row>
    <row r="106" spans="1:14" ht="14.25" customHeight="1" x14ac:dyDescent="0.25">
      <c r="A106" s="15" t="s">
        <v>502</v>
      </c>
      <c r="B106" s="175" t="s">
        <v>431</v>
      </c>
      <c r="C106" s="75">
        <v>1</v>
      </c>
      <c r="D106" s="75">
        <f t="shared" si="30"/>
        <v>1</v>
      </c>
      <c r="E106" s="75">
        <f t="shared" si="31"/>
        <v>1</v>
      </c>
      <c r="F106" s="75">
        <v>3</v>
      </c>
      <c r="G106" s="75">
        <f t="shared" si="32"/>
        <v>3</v>
      </c>
      <c r="H106" s="75">
        <f t="shared" si="33"/>
        <v>3</v>
      </c>
      <c r="I106" s="65">
        <v>30000</v>
      </c>
      <c r="J106" s="45">
        <f t="shared" si="34"/>
        <v>30000</v>
      </c>
      <c r="K106" s="45">
        <f t="shared" si="35"/>
        <v>30000</v>
      </c>
      <c r="L106" s="182">
        <v>0</v>
      </c>
      <c r="M106" s="23"/>
      <c r="N106" s="23"/>
    </row>
    <row r="107" spans="1:14" ht="27.1" customHeight="1" x14ac:dyDescent="0.25">
      <c r="A107" s="15" t="s">
        <v>579</v>
      </c>
      <c r="B107" s="175" t="s">
        <v>432</v>
      </c>
      <c r="C107" s="75">
        <v>1</v>
      </c>
      <c r="D107" s="75">
        <f t="shared" si="30"/>
        <v>1</v>
      </c>
      <c r="E107" s="75">
        <f t="shared" si="31"/>
        <v>1</v>
      </c>
      <c r="F107" s="75">
        <v>1</v>
      </c>
      <c r="G107" s="75">
        <f t="shared" si="32"/>
        <v>1</v>
      </c>
      <c r="H107" s="75">
        <f t="shared" si="33"/>
        <v>1</v>
      </c>
      <c r="I107" s="65">
        <v>30000</v>
      </c>
      <c r="J107" s="45">
        <f t="shared" si="34"/>
        <v>30000</v>
      </c>
      <c r="K107" s="45">
        <f t="shared" si="35"/>
        <v>30000</v>
      </c>
      <c r="L107" s="182">
        <v>0</v>
      </c>
      <c r="M107" s="23"/>
      <c r="N107" s="23"/>
    </row>
    <row r="108" spans="1:14" ht="15.05" customHeight="1" x14ac:dyDescent="0.25">
      <c r="A108" s="15" t="s">
        <v>503</v>
      </c>
      <c r="B108" s="175" t="s">
        <v>433</v>
      </c>
      <c r="C108" s="75">
        <v>1</v>
      </c>
      <c r="D108" s="75">
        <f t="shared" si="30"/>
        <v>1</v>
      </c>
      <c r="E108" s="75">
        <f t="shared" si="31"/>
        <v>1</v>
      </c>
      <c r="F108" s="75">
        <v>1</v>
      </c>
      <c r="G108" s="75">
        <f t="shared" si="32"/>
        <v>1</v>
      </c>
      <c r="H108" s="75">
        <f t="shared" si="33"/>
        <v>1</v>
      </c>
      <c r="I108" s="65">
        <v>66000</v>
      </c>
      <c r="J108" s="45">
        <f t="shared" si="34"/>
        <v>66000</v>
      </c>
      <c r="K108" s="45">
        <f t="shared" si="35"/>
        <v>66000</v>
      </c>
      <c r="L108" s="182">
        <v>0</v>
      </c>
      <c r="M108" s="23"/>
      <c r="N108" s="23"/>
    </row>
    <row r="109" spans="1:14" ht="14.25" customHeight="1" x14ac:dyDescent="0.25">
      <c r="A109" s="15" t="s">
        <v>504</v>
      </c>
      <c r="B109" s="175" t="s">
        <v>434</v>
      </c>
      <c r="C109" s="75">
        <v>1</v>
      </c>
      <c r="D109" s="75">
        <f t="shared" si="30"/>
        <v>1</v>
      </c>
      <c r="E109" s="75">
        <f t="shared" si="31"/>
        <v>1</v>
      </c>
      <c r="F109" s="75">
        <v>1</v>
      </c>
      <c r="G109" s="75">
        <f t="shared" si="32"/>
        <v>1</v>
      </c>
      <c r="H109" s="75">
        <f t="shared" si="33"/>
        <v>1</v>
      </c>
      <c r="I109" s="65">
        <v>19000</v>
      </c>
      <c r="J109" s="45">
        <f t="shared" si="34"/>
        <v>19000</v>
      </c>
      <c r="K109" s="45">
        <f t="shared" si="35"/>
        <v>19000</v>
      </c>
      <c r="L109" s="182">
        <v>0</v>
      </c>
      <c r="M109" s="23"/>
      <c r="N109" s="23"/>
    </row>
    <row r="110" spans="1:14" ht="13.5" customHeight="1" x14ac:dyDescent="0.25">
      <c r="A110" s="15" t="s">
        <v>505</v>
      </c>
      <c r="B110" s="175" t="s">
        <v>435</v>
      </c>
      <c r="C110" s="75">
        <v>1</v>
      </c>
      <c r="D110" s="75">
        <f t="shared" si="30"/>
        <v>1</v>
      </c>
      <c r="E110" s="75">
        <f t="shared" si="31"/>
        <v>1</v>
      </c>
      <c r="F110" s="75">
        <v>1</v>
      </c>
      <c r="G110" s="75">
        <f t="shared" si="32"/>
        <v>1</v>
      </c>
      <c r="H110" s="75">
        <f t="shared" si="33"/>
        <v>1</v>
      </c>
      <c r="I110" s="65">
        <v>3000</v>
      </c>
      <c r="J110" s="45">
        <f t="shared" si="34"/>
        <v>3000</v>
      </c>
      <c r="K110" s="45">
        <f t="shared" si="35"/>
        <v>3000</v>
      </c>
      <c r="L110" s="182">
        <v>0</v>
      </c>
      <c r="M110" s="23"/>
      <c r="N110" s="23"/>
    </row>
    <row r="111" spans="1:14" ht="15.05" customHeight="1" x14ac:dyDescent="0.25">
      <c r="A111" s="15" t="s">
        <v>506</v>
      </c>
      <c r="B111" s="175" t="s">
        <v>436</v>
      </c>
      <c r="C111" s="75">
        <v>1</v>
      </c>
      <c r="D111" s="75">
        <f t="shared" si="30"/>
        <v>1</v>
      </c>
      <c r="E111" s="75">
        <f t="shared" si="31"/>
        <v>1</v>
      </c>
      <c r="F111" s="75">
        <v>1</v>
      </c>
      <c r="G111" s="75">
        <f t="shared" si="32"/>
        <v>1</v>
      </c>
      <c r="H111" s="75">
        <f t="shared" si="33"/>
        <v>1</v>
      </c>
      <c r="I111" s="65">
        <v>196762</v>
      </c>
      <c r="J111" s="45">
        <f t="shared" si="34"/>
        <v>196762</v>
      </c>
      <c r="K111" s="45">
        <f t="shared" si="35"/>
        <v>196762</v>
      </c>
      <c r="L111" s="182">
        <v>0</v>
      </c>
      <c r="M111" s="23"/>
      <c r="N111" s="23"/>
    </row>
    <row r="112" spans="1:14" ht="18.8" customHeight="1" x14ac:dyDescent="0.25">
      <c r="A112" s="15" t="s">
        <v>668</v>
      </c>
      <c r="B112" s="175" t="s">
        <v>437</v>
      </c>
      <c r="C112" s="75">
        <v>1</v>
      </c>
      <c r="D112" s="75">
        <v>1</v>
      </c>
      <c r="E112" s="75">
        <v>1</v>
      </c>
      <c r="F112" s="75">
        <v>1</v>
      </c>
      <c r="G112" s="75">
        <v>1</v>
      </c>
      <c r="H112" s="75">
        <f t="shared" si="33"/>
        <v>1</v>
      </c>
      <c r="I112" s="65">
        <v>250000</v>
      </c>
      <c r="J112" s="131">
        <f t="shared" si="34"/>
        <v>250000</v>
      </c>
      <c r="K112" s="131">
        <f t="shared" si="35"/>
        <v>250000</v>
      </c>
      <c r="L112" s="182">
        <v>0</v>
      </c>
      <c r="M112" s="23"/>
      <c r="N112" s="23"/>
    </row>
    <row r="113" spans="1:14" ht="15.05" customHeight="1" x14ac:dyDescent="0.25">
      <c r="A113" s="128" t="s">
        <v>649</v>
      </c>
      <c r="B113" s="175" t="s">
        <v>438</v>
      </c>
      <c r="C113" s="75">
        <v>1</v>
      </c>
      <c r="D113" s="75">
        <v>1</v>
      </c>
      <c r="E113" s="75">
        <v>1</v>
      </c>
      <c r="F113" s="75">
        <v>1</v>
      </c>
      <c r="G113" s="75">
        <v>1</v>
      </c>
      <c r="H113" s="75">
        <v>1</v>
      </c>
      <c r="I113" s="65">
        <v>972569</v>
      </c>
      <c r="J113" s="139">
        <f t="shared" si="34"/>
        <v>972569</v>
      </c>
      <c r="K113" s="139">
        <f t="shared" si="35"/>
        <v>972569</v>
      </c>
      <c r="L113" s="182">
        <v>0</v>
      </c>
      <c r="M113" s="23"/>
      <c r="N113" s="23"/>
    </row>
    <row r="114" spans="1:14" ht="15.05" customHeight="1" x14ac:dyDescent="0.25">
      <c r="A114" s="128" t="s">
        <v>691</v>
      </c>
      <c r="B114" s="227" t="s">
        <v>439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  <c r="H114" s="75">
        <v>0</v>
      </c>
      <c r="I114" s="65">
        <v>0</v>
      </c>
      <c r="J114" s="226">
        <v>0</v>
      </c>
      <c r="K114" s="226">
        <f t="shared" si="35"/>
        <v>0</v>
      </c>
      <c r="L114" s="226">
        <v>1500</v>
      </c>
      <c r="M114" s="23"/>
      <c r="N114" s="23"/>
    </row>
    <row r="115" spans="1:14" ht="26.95" customHeight="1" x14ac:dyDescent="0.25">
      <c r="A115" s="128" t="s">
        <v>707</v>
      </c>
      <c r="B115" s="237"/>
      <c r="C115" s="75">
        <v>1</v>
      </c>
      <c r="D115" s="75">
        <v>1</v>
      </c>
      <c r="E115" s="75">
        <v>1</v>
      </c>
      <c r="F115" s="75">
        <v>1</v>
      </c>
      <c r="G115" s="75">
        <v>1</v>
      </c>
      <c r="H115" s="75">
        <v>1</v>
      </c>
      <c r="I115" s="65">
        <v>40000</v>
      </c>
      <c r="J115" s="236"/>
      <c r="K115" s="236"/>
      <c r="L115" s="236"/>
      <c r="M115" s="23"/>
      <c r="N115" s="23"/>
    </row>
    <row r="116" spans="1:14" ht="13.15" x14ac:dyDescent="0.25">
      <c r="A116" s="12" t="s">
        <v>121</v>
      </c>
      <c r="B116" s="67" t="s">
        <v>223</v>
      </c>
      <c r="C116" s="12" t="s">
        <v>1</v>
      </c>
      <c r="D116" s="12" t="s">
        <v>1</v>
      </c>
      <c r="E116" s="12" t="s">
        <v>1</v>
      </c>
      <c r="F116" s="12" t="s">
        <v>1</v>
      </c>
      <c r="G116" s="12" t="s">
        <v>1</v>
      </c>
      <c r="H116" s="12" t="s">
        <v>1</v>
      </c>
      <c r="I116" s="55">
        <f>SUM(I99:I115)</f>
        <v>2879261</v>
      </c>
      <c r="J116" s="140">
        <f>SUM(J99:J114)</f>
        <v>2839261</v>
      </c>
      <c r="K116" s="140">
        <f>SUM(K99:K115)</f>
        <v>2839261</v>
      </c>
      <c r="L116" s="228">
        <f>SUM(L99:L114)</f>
        <v>1500</v>
      </c>
      <c r="M116" s="23"/>
      <c r="N116" s="23"/>
    </row>
    <row r="117" spans="1:14" ht="7.05" customHeight="1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</row>
    <row r="118" spans="1:14" ht="13.15" x14ac:dyDescent="0.25">
      <c r="A118" s="39" t="s">
        <v>559</v>
      </c>
      <c r="B118" s="23"/>
      <c r="C118" s="23"/>
      <c r="D118" s="23"/>
      <c r="E118" s="23"/>
      <c r="F118" s="23"/>
      <c r="G118" s="23"/>
      <c r="H118" s="23"/>
      <c r="I118" s="107"/>
      <c r="J118" s="23"/>
      <c r="K118" s="23"/>
      <c r="L118" s="23"/>
      <c r="M118" s="23"/>
      <c r="N118" s="23"/>
    </row>
    <row r="119" spans="1:14" ht="13.15" hidden="1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40.549999999999997" hidden="1" customHeight="1" x14ac:dyDescent="0.25">
      <c r="A120" s="286" t="s">
        <v>199</v>
      </c>
      <c r="B120" s="248" t="s">
        <v>11</v>
      </c>
      <c r="C120" s="248" t="s">
        <v>243</v>
      </c>
      <c r="D120" s="248"/>
      <c r="E120" s="248"/>
      <c r="F120" s="248" t="s">
        <v>244</v>
      </c>
      <c r="G120" s="248"/>
      <c r="H120" s="248"/>
      <c r="I120" s="261"/>
      <c r="J120" s="261"/>
      <c r="K120" s="261"/>
      <c r="L120" s="23"/>
      <c r="M120" s="23"/>
      <c r="N120" s="23"/>
    </row>
    <row r="121" spans="1:14" ht="15.05" hidden="1" customHeight="1" x14ac:dyDescent="0.25">
      <c r="A121" s="287"/>
      <c r="B121" s="248"/>
      <c r="C121" s="12" t="s">
        <v>7</v>
      </c>
      <c r="D121" s="12" t="s">
        <v>8</v>
      </c>
      <c r="E121" s="12" t="s">
        <v>9</v>
      </c>
      <c r="F121" s="12" t="s">
        <v>7</v>
      </c>
      <c r="G121" s="12" t="s">
        <v>8</v>
      </c>
      <c r="H121" s="12" t="s">
        <v>9</v>
      </c>
      <c r="I121" s="12"/>
      <c r="J121" s="12"/>
      <c r="K121" s="12"/>
      <c r="L121" s="23"/>
      <c r="M121" s="23"/>
      <c r="N121" s="23"/>
    </row>
    <row r="122" spans="1:14" ht="53.25" hidden="1" customHeight="1" x14ac:dyDescent="0.25">
      <c r="A122" s="288"/>
      <c r="B122" s="248"/>
      <c r="C122" s="46" t="s">
        <v>82</v>
      </c>
      <c r="D122" s="46" t="s">
        <v>83</v>
      </c>
      <c r="E122" s="46" t="s">
        <v>84</v>
      </c>
      <c r="F122" s="46" t="s">
        <v>82</v>
      </c>
      <c r="G122" s="46" t="s">
        <v>83</v>
      </c>
      <c r="H122" s="46" t="s">
        <v>84</v>
      </c>
      <c r="I122" s="46"/>
      <c r="J122" s="46"/>
      <c r="K122" s="46"/>
      <c r="L122" s="23"/>
      <c r="M122" s="23"/>
      <c r="N122" s="23"/>
    </row>
    <row r="123" spans="1:14" ht="13.15" hidden="1" x14ac:dyDescent="0.25">
      <c r="A123" s="12" t="s">
        <v>19</v>
      </c>
      <c r="B123" s="12" t="s">
        <v>20</v>
      </c>
      <c r="C123" s="12" t="s">
        <v>21</v>
      </c>
      <c r="D123" s="12" t="s">
        <v>22</v>
      </c>
      <c r="E123" s="12" t="s">
        <v>23</v>
      </c>
      <c r="F123" s="12" t="s">
        <v>24</v>
      </c>
      <c r="G123" s="12" t="s">
        <v>25</v>
      </c>
      <c r="H123" s="12" t="s">
        <v>26</v>
      </c>
      <c r="I123" s="12"/>
      <c r="J123" s="12"/>
      <c r="K123" s="12"/>
      <c r="L123" s="23"/>
      <c r="M123" s="23"/>
      <c r="N123" s="23"/>
    </row>
    <row r="124" spans="1:14" ht="13.15" hidden="1" x14ac:dyDescent="0.25">
      <c r="A124" s="40"/>
      <c r="B124" s="12" t="s">
        <v>31</v>
      </c>
      <c r="C124" s="40"/>
      <c r="D124" s="40"/>
      <c r="E124" s="40"/>
      <c r="F124" s="40"/>
      <c r="G124" s="40"/>
      <c r="H124" s="40"/>
      <c r="I124" s="45"/>
      <c r="J124" s="45"/>
      <c r="K124" s="45"/>
      <c r="L124" s="23"/>
      <c r="M124" s="23"/>
      <c r="N124" s="23"/>
    </row>
    <row r="125" spans="1:14" ht="13.15" hidden="1" x14ac:dyDescent="0.25">
      <c r="A125" s="12" t="s">
        <v>121</v>
      </c>
      <c r="B125" s="67" t="s">
        <v>223</v>
      </c>
      <c r="C125" s="12" t="s">
        <v>1</v>
      </c>
      <c r="D125" s="12" t="s">
        <v>1</v>
      </c>
      <c r="E125" s="12" t="s">
        <v>1</v>
      </c>
      <c r="F125" s="12" t="s">
        <v>1</v>
      </c>
      <c r="G125" s="12" t="s">
        <v>1</v>
      </c>
      <c r="H125" s="12" t="s">
        <v>1</v>
      </c>
      <c r="I125" s="55"/>
      <c r="J125" s="55"/>
      <c r="K125" s="55"/>
      <c r="L125" s="23"/>
      <c r="M125" s="23"/>
      <c r="N125" s="23"/>
    </row>
    <row r="126" spans="1:14" ht="7.55" customHeight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ht="13.15" x14ac:dyDescent="0.2">
      <c r="A127" s="272" t="s">
        <v>560</v>
      </c>
      <c r="B127" s="272"/>
      <c r="C127" s="272"/>
      <c r="D127" s="272"/>
      <c r="E127" s="272"/>
      <c r="F127" s="272"/>
      <c r="G127" s="272"/>
      <c r="H127" s="272"/>
      <c r="I127" s="272"/>
      <c r="J127" s="272"/>
      <c r="K127" s="272"/>
      <c r="L127" s="272"/>
      <c r="M127" s="272"/>
      <c r="N127" s="272"/>
    </row>
    <row r="128" spans="1:14" ht="13.15" hidden="1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</row>
    <row r="129" spans="1:14" ht="39.799999999999997" customHeight="1" x14ac:dyDescent="0.25">
      <c r="A129" s="248" t="s">
        <v>199</v>
      </c>
      <c r="B129" s="248" t="s">
        <v>11</v>
      </c>
      <c r="C129" s="248" t="s">
        <v>245</v>
      </c>
      <c r="D129" s="248"/>
      <c r="E129" s="248"/>
      <c r="F129" s="248" t="s">
        <v>246</v>
      </c>
      <c r="G129" s="248"/>
      <c r="H129" s="248"/>
      <c r="I129" s="261" t="s">
        <v>81</v>
      </c>
      <c r="J129" s="261"/>
      <c r="K129" s="261"/>
      <c r="L129" s="23"/>
      <c r="M129" s="23"/>
      <c r="N129" s="23"/>
    </row>
    <row r="130" spans="1:14" ht="18" customHeight="1" x14ac:dyDescent="0.25">
      <c r="A130" s="248"/>
      <c r="B130" s="248"/>
      <c r="C130" s="142" t="s">
        <v>9</v>
      </c>
      <c r="D130" s="142" t="s">
        <v>571</v>
      </c>
      <c r="E130" s="142" t="s">
        <v>630</v>
      </c>
      <c r="F130" s="142" t="s">
        <v>9</v>
      </c>
      <c r="G130" s="142" t="s">
        <v>571</v>
      </c>
      <c r="H130" s="142" t="s">
        <v>630</v>
      </c>
      <c r="I130" s="142" t="s">
        <v>9</v>
      </c>
      <c r="J130" s="142" t="s">
        <v>571</v>
      </c>
      <c r="K130" s="142" t="s">
        <v>630</v>
      </c>
      <c r="L130" s="23"/>
      <c r="M130" s="23"/>
      <c r="N130" s="23"/>
    </row>
    <row r="131" spans="1:14" ht="51.05" customHeight="1" x14ac:dyDescent="0.25">
      <c r="A131" s="248"/>
      <c r="B131" s="248"/>
      <c r="C131" s="46" t="s">
        <v>82</v>
      </c>
      <c r="D131" s="46" t="s">
        <v>83</v>
      </c>
      <c r="E131" s="46" t="s">
        <v>84</v>
      </c>
      <c r="F131" s="46" t="s">
        <v>82</v>
      </c>
      <c r="G131" s="46" t="s">
        <v>83</v>
      </c>
      <c r="H131" s="46" t="s">
        <v>84</v>
      </c>
      <c r="I131" s="46" t="s">
        <v>82</v>
      </c>
      <c r="J131" s="46" t="s">
        <v>83</v>
      </c>
      <c r="K131" s="46" t="s">
        <v>84</v>
      </c>
      <c r="L131" s="23"/>
      <c r="M131" s="23"/>
      <c r="N131" s="23"/>
    </row>
    <row r="132" spans="1:14" ht="13.15" x14ac:dyDescent="0.25">
      <c r="A132" s="12" t="s">
        <v>19</v>
      </c>
      <c r="B132" s="12" t="s">
        <v>20</v>
      </c>
      <c r="C132" s="12" t="s">
        <v>21</v>
      </c>
      <c r="D132" s="12" t="s">
        <v>22</v>
      </c>
      <c r="E132" s="12" t="s">
        <v>23</v>
      </c>
      <c r="F132" s="12" t="s">
        <v>24</v>
      </c>
      <c r="G132" s="12" t="s">
        <v>25</v>
      </c>
      <c r="H132" s="12" t="s">
        <v>26</v>
      </c>
      <c r="I132" s="12" t="s">
        <v>27</v>
      </c>
      <c r="J132" s="12" t="s">
        <v>28</v>
      </c>
      <c r="K132" s="12" t="s">
        <v>29</v>
      </c>
      <c r="L132" s="23"/>
      <c r="M132" s="23"/>
      <c r="N132" s="23"/>
    </row>
    <row r="133" spans="1:14" ht="14.25" customHeight="1" x14ac:dyDescent="0.25">
      <c r="A133" s="40" t="s">
        <v>507</v>
      </c>
      <c r="B133" s="12" t="s">
        <v>31</v>
      </c>
      <c r="C133" s="75">
        <v>4</v>
      </c>
      <c r="D133" s="75">
        <f>C133</f>
        <v>4</v>
      </c>
      <c r="E133" s="75">
        <f>C133</f>
        <v>4</v>
      </c>
      <c r="F133" s="45">
        <v>3500</v>
      </c>
      <c r="G133" s="45">
        <f>F133</f>
        <v>3500</v>
      </c>
      <c r="H133" s="45">
        <f>F133</f>
        <v>3500</v>
      </c>
      <c r="I133" s="45">
        <f>C133*F133</f>
        <v>14000</v>
      </c>
      <c r="J133" s="45">
        <f>I133</f>
        <v>14000</v>
      </c>
      <c r="K133" s="45">
        <f>I133</f>
        <v>14000</v>
      </c>
      <c r="L133" s="23"/>
      <c r="M133" s="23"/>
      <c r="N133" s="23"/>
    </row>
    <row r="134" spans="1:14" ht="14.25" customHeight="1" x14ac:dyDescent="0.25">
      <c r="A134" s="12" t="s">
        <v>121</v>
      </c>
      <c r="B134" s="67" t="s">
        <v>225</v>
      </c>
      <c r="C134" s="12" t="s">
        <v>1</v>
      </c>
      <c r="D134" s="12" t="s">
        <v>1</v>
      </c>
      <c r="E134" s="12" t="s">
        <v>1</v>
      </c>
      <c r="F134" s="45" t="s">
        <v>1</v>
      </c>
      <c r="G134" s="45" t="s">
        <v>1</v>
      </c>
      <c r="H134" s="45" t="s">
        <v>1</v>
      </c>
      <c r="I134" s="55">
        <f>I133</f>
        <v>14000</v>
      </c>
      <c r="J134" s="55">
        <f>J133</f>
        <v>14000</v>
      </c>
      <c r="K134" s="55">
        <f>K133</f>
        <v>14000</v>
      </c>
      <c r="L134" s="23"/>
      <c r="M134" s="23"/>
      <c r="N134" s="23"/>
    </row>
    <row r="135" spans="1:14" ht="14.25" customHeight="1" x14ac:dyDescent="0.25">
      <c r="A135" s="77"/>
      <c r="B135" s="77"/>
      <c r="C135" s="77"/>
      <c r="D135" s="77"/>
      <c r="E135" s="77"/>
      <c r="F135" s="78"/>
      <c r="G135" s="78"/>
      <c r="H135" s="78"/>
      <c r="I135" s="79"/>
      <c r="J135" s="79"/>
      <c r="K135" s="79"/>
      <c r="L135" s="23"/>
      <c r="M135" s="23"/>
      <c r="N135" s="23"/>
    </row>
    <row r="136" spans="1:14" ht="13.15" x14ac:dyDescent="0.25">
      <c r="A136" s="39" t="s">
        <v>561</v>
      </c>
      <c r="B136" s="23"/>
      <c r="C136" s="23"/>
      <c r="D136" s="23"/>
      <c r="E136" s="23"/>
      <c r="F136" s="23"/>
      <c r="G136" s="23"/>
      <c r="H136" s="23"/>
      <c r="I136" s="23"/>
      <c r="J136" s="23"/>
      <c r="K136" s="23"/>
    </row>
    <row r="137" spans="1:14" ht="13.15" hidden="1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</row>
    <row r="138" spans="1:14" ht="15.05" customHeight="1" x14ac:dyDescent="0.2">
      <c r="A138" s="286" t="s">
        <v>199</v>
      </c>
      <c r="B138" s="248" t="s">
        <v>11</v>
      </c>
      <c r="C138" s="261" t="s">
        <v>241</v>
      </c>
      <c r="D138" s="261"/>
      <c r="E138" s="261"/>
      <c r="F138" s="261" t="s">
        <v>242</v>
      </c>
      <c r="G138" s="261"/>
      <c r="H138" s="261"/>
      <c r="I138" s="261" t="s">
        <v>81</v>
      </c>
      <c r="J138" s="261"/>
      <c r="K138" s="261"/>
      <c r="L138" s="279" t="s">
        <v>672</v>
      </c>
    </row>
    <row r="139" spans="1:14" ht="16.45" customHeight="1" x14ac:dyDescent="0.2">
      <c r="A139" s="287"/>
      <c r="B139" s="248"/>
      <c r="C139" s="142" t="s">
        <v>9</v>
      </c>
      <c r="D139" s="142" t="s">
        <v>571</v>
      </c>
      <c r="E139" s="142" t="s">
        <v>630</v>
      </c>
      <c r="F139" s="142" t="s">
        <v>9</v>
      </c>
      <c r="G139" s="142" t="s">
        <v>571</v>
      </c>
      <c r="H139" s="142" t="s">
        <v>630</v>
      </c>
      <c r="I139" s="142" t="s">
        <v>9</v>
      </c>
      <c r="J139" s="142" t="s">
        <v>571</v>
      </c>
      <c r="K139" s="142" t="s">
        <v>630</v>
      </c>
      <c r="L139" s="280"/>
    </row>
    <row r="140" spans="1:14" ht="39.450000000000003" x14ac:dyDescent="0.2">
      <c r="A140" s="288"/>
      <c r="B140" s="248"/>
      <c r="C140" s="46" t="s">
        <v>82</v>
      </c>
      <c r="D140" s="46" t="s">
        <v>83</v>
      </c>
      <c r="E140" s="46" t="s">
        <v>84</v>
      </c>
      <c r="F140" s="46" t="s">
        <v>82</v>
      </c>
      <c r="G140" s="46" t="s">
        <v>83</v>
      </c>
      <c r="H140" s="46" t="s">
        <v>84</v>
      </c>
      <c r="I140" s="46" t="s">
        <v>82</v>
      </c>
      <c r="J140" s="46" t="s">
        <v>83</v>
      </c>
      <c r="K140" s="46" t="s">
        <v>84</v>
      </c>
      <c r="L140" s="281"/>
    </row>
    <row r="141" spans="1:14" ht="13.15" x14ac:dyDescent="0.2">
      <c r="A141" s="47" t="s">
        <v>19</v>
      </c>
      <c r="B141" s="47" t="s">
        <v>20</v>
      </c>
      <c r="C141" s="47" t="s">
        <v>21</v>
      </c>
      <c r="D141" s="47" t="s">
        <v>22</v>
      </c>
      <c r="E141" s="47" t="s">
        <v>23</v>
      </c>
      <c r="F141" s="47" t="s">
        <v>24</v>
      </c>
      <c r="G141" s="47" t="s">
        <v>25</v>
      </c>
      <c r="H141" s="47" t="s">
        <v>26</v>
      </c>
      <c r="I141" s="47" t="s">
        <v>27</v>
      </c>
      <c r="J141" s="47" t="s">
        <v>28</v>
      </c>
      <c r="K141" s="47" t="s">
        <v>29</v>
      </c>
      <c r="L141" s="184">
        <v>12</v>
      </c>
    </row>
    <row r="142" spans="1:14" ht="26.3" x14ac:dyDescent="0.2">
      <c r="A142" s="15" t="s">
        <v>635</v>
      </c>
      <c r="B142" s="67" t="s">
        <v>31</v>
      </c>
      <c r="C142" s="75">
        <v>1</v>
      </c>
      <c r="D142" s="75">
        <f t="shared" ref="D142" si="36">C142</f>
        <v>1</v>
      </c>
      <c r="E142" s="75">
        <f t="shared" ref="E142" si="37">C142</f>
        <v>1</v>
      </c>
      <c r="F142" s="75">
        <v>3</v>
      </c>
      <c r="G142" s="75">
        <f t="shared" ref="G142" si="38">F142</f>
        <v>3</v>
      </c>
      <c r="H142" s="75">
        <f t="shared" ref="H142" si="39">F142</f>
        <v>3</v>
      </c>
      <c r="I142" s="65">
        <v>68400</v>
      </c>
      <c r="J142" s="139">
        <f t="shared" ref="J142" si="40">I142</f>
        <v>68400</v>
      </c>
      <c r="K142" s="139">
        <f t="shared" ref="K142" si="41">I142</f>
        <v>68400</v>
      </c>
      <c r="L142" s="226">
        <v>0</v>
      </c>
    </row>
    <row r="143" spans="1:14" ht="27.1" customHeight="1" x14ac:dyDescent="0.2">
      <c r="A143" s="15" t="s">
        <v>508</v>
      </c>
      <c r="B143" s="67" t="s">
        <v>33</v>
      </c>
      <c r="C143" s="75">
        <v>1</v>
      </c>
      <c r="D143" s="75">
        <f t="shared" ref="D143" si="42">C143</f>
        <v>1</v>
      </c>
      <c r="E143" s="75">
        <f t="shared" ref="E143" si="43">C143</f>
        <v>1</v>
      </c>
      <c r="F143" s="75">
        <v>3</v>
      </c>
      <c r="G143" s="75">
        <f t="shared" ref="G143" si="44">F143</f>
        <v>3</v>
      </c>
      <c r="H143" s="75">
        <f t="shared" ref="H143" si="45">F143</f>
        <v>3</v>
      </c>
      <c r="I143" s="65">
        <v>83800</v>
      </c>
      <c r="J143" s="45">
        <f t="shared" ref="J143" si="46">I143</f>
        <v>83800</v>
      </c>
      <c r="K143" s="45">
        <f t="shared" ref="K143" si="47">I143</f>
        <v>83800</v>
      </c>
      <c r="L143" s="226">
        <v>25595</v>
      </c>
    </row>
    <row r="144" spans="1:14" ht="13.5" customHeight="1" x14ac:dyDescent="0.2">
      <c r="A144" s="15" t="s">
        <v>510</v>
      </c>
      <c r="B144" s="67" t="s">
        <v>380</v>
      </c>
      <c r="C144" s="75">
        <v>1</v>
      </c>
      <c r="D144" s="75">
        <v>1</v>
      </c>
      <c r="E144" s="75">
        <v>1</v>
      </c>
      <c r="F144" s="75">
        <v>1</v>
      </c>
      <c r="G144" s="75">
        <v>1</v>
      </c>
      <c r="H144" s="75">
        <v>1</v>
      </c>
      <c r="I144" s="65">
        <v>960000</v>
      </c>
      <c r="J144" s="65">
        <v>960000</v>
      </c>
      <c r="K144" s="65">
        <v>960000</v>
      </c>
      <c r="L144" s="226">
        <v>0</v>
      </c>
    </row>
    <row r="145" spans="1:14" ht="40.549999999999997" customHeight="1" x14ac:dyDescent="0.2">
      <c r="A145" s="15" t="s">
        <v>580</v>
      </c>
      <c r="B145" s="67" t="s">
        <v>428</v>
      </c>
      <c r="C145" s="75">
        <v>1</v>
      </c>
      <c r="D145" s="75">
        <f>C145</f>
        <v>1</v>
      </c>
      <c r="E145" s="75">
        <f>C145</f>
        <v>1</v>
      </c>
      <c r="F145" s="53">
        <v>1</v>
      </c>
      <c r="G145" s="53">
        <f>F145</f>
        <v>1</v>
      </c>
      <c r="H145" s="53">
        <f>F145</f>
        <v>1</v>
      </c>
      <c r="I145" s="65">
        <v>35530</v>
      </c>
      <c r="J145" s="65">
        <v>35530</v>
      </c>
      <c r="K145" s="65">
        <v>35530</v>
      </c>
      <c r="L145" s="226">
        <v>0</v>
      </c>
    </row>
    <row r="146" spans="1:14" ht="15.85" customHeight="1" x14ac:dyDescent="0.2">
      <c r="A146" s="15" t="s">
        <v>511</v>
      </c>
      <c r="B146" s="67" t="s">
        <v>427</v>
      </c>
      <c r="C146" s="75">
        <v>1</v>
      </c>
      <c r="D146" s="75">
        <v>1</v>
      </c>
      <c r="E146" s="75">
        <v>1</v>
      </c>
      <c r="F146" s="53">
        <v>1</v>
      </c>
      <c r="G146" s="53">
        <v>1</v>
      </c>
      <c r="H146" s="53">
        <v>1</v>
      </c>
      <c r="I146" s="65">
        <v>24470</v>
      </c>
      <c r="J146" s="65">
        <v>24470</v>
      </c>
      <c r="K146" s="65">
        <v>24470</v>
      </c>
      <c r="L146" s="226">
        <v>0</v>
      </c>
    </row>
    <row r="147" spans="1:14" ht="27.1" customHeight="1" x14ac:dyDescent="0.2">
      <c r="A147" s="15" t="s">
        <v>648</v>
      </c>
      <c r="B147" s="67" t="s">
        <v>429</v>
      </c>
      <c r="C147" s="75">
        <v>1</v>
      </c>
      <c r="D147" s="75">
        <v>1</v>
      </c>
      <c r="E147" s="75">
        <v>1</v>
      </c>
      <c r="F147" s="53">
        <v>1</v>
      </c>
      <c r="G147" s="53">
        <v>1</v>
      </c>
      <c r="H147" s="53">
        <v>1</v>
      </c>
      <c r="I147" s="65">
        <v>1457625</v>
      </c>
      <c r="J147" s="65">
        <v>1457625</v>
      </c>
      <c r="K147" s="65">
        <v>1457625</v>
      </c>
      <c r="L147" s="226">
        <v>0</v>
      </c>
    </row>
    <row r="148" spans="1:14" ht="16.45" customHeight="1" x14ac:dyDescent="0.2">
      <c r="A148" s="15" t="s">
        <v>692</v>
      </c>
      <c r="B148" s="67" t="s">
        <v>430</v>
      </c>
      <c r="C148" s="75">
        <v>0</v>
      </c>
      <c r="D148" s="75">
        <v>0</v>
      </c>
      <c r="E148" s="75">
        <v>0</v>
      </c>
      <c r="F148" s="53">
        <v>0</v>
      </c>
      <c r="G148" s="53">
        <v>0</v>
      </c>
      <c r="H148" s="53">
        <v>0</v>
      </c>
      <c r="I148" s="65">
        <v>0</v>
      </c>
      <c r="J148" s="65">
        <v>0</v>
      </c>
      <c r="K148" s="65">
        <v>0</v>
      </c>
      <c r="L148" s="226">
        <v>4500</v>
      </c>
    </row>
    <row r="149" spans="1:14" ht="82.65" customHeight="1" x14ac:dyDescent="0.2">
      <c r="A149" s="15" t="s">
        <v>706</v>
      </c>
      <c r="B149" s="67" t="s">
        <v>431</v>
      </c>
      <c r="C149" s="75">
        <v>1</v>
      </c>
      <c r="D149" s="75">
        <v>1</v>
      </c>
      <c r="E149" s="75">
        <v>1</v>
      </c>
      <c r="F149" s="53">
        <v>1</v>
      </c>
      <c r="G149" s="53">
        <v>1</v>
      </c>
      <c r="H149" s="53">
        <v>1</v>
      </c>
      <c r="I149" s="65">
        <v>1248520</v>
      </c>
      <c r="J149" s="65"/>
      <c r="K149" s="65"/>
      <c r="L149" s="236"/>
    </row>
    <row r="150" spans="1:14" ht="14.25" customHeight="1" x14ac:dyDescent="0.2">
      <c r="A150" s="47" t="s">
        <v>121</v>
      </c>
      <c r="B150" s="67" t="s">
        <v>226</v>
      </c>
      <c r="C150" s="47" t="s">
        <v>1</v>
      </c>
      <c r="D150" s="47" t="s">
        <v>1</v>
      </c>
      <c r="E150" s="47" t="s">
        <v>1</v>
      </c>
      <c r="F150" s="47" t="s">
        <v>1</v>
      </c>
      <c r="G150" s="47" t="s">
        <v>1</v>
      </c>
      <c r="H150" s="47" t="s">
        <v>1</v>
      </c>
      <c r="I150" s="55">
        <f>SUM(I142:I149)</f>
        <v>3878345</v>
      </c>
      <c r="J150" s="153">
        <f>SUM(J142:J148)</f>
        <v>2629825</v>
      </c>
      <c r="K150" s="153">
        <f>SUM(K142:K148)</f>
        <v>2629825</v>
      </c>
      <c r="L150" s="228">
        <f>SUM(L142:L148)</f>
        <v>30095</v>
      </c>
      <c r="M150" s="108"/>
      <c r="N150" s="108"/>
    </row>
    <row r="151" spans="1:14" ht="14.25" customHeight="1" x14ac:dyDescent="0.2">
      <c r="A151" s="77"/>
      <c r="B151" s="77"/>
      <c r="C151" s="77"/>
      <c r="D151" s="77"/>
      <c r="E151" s="77"/>
      <c r="F151" s="77"/>
      <c r="G151" s="77"/>
      <c r="H151" s="77"/>
      <c r="I151" s="79"/>
      <c r="J151" s="79"/>
      <c r="K151" s="79"/>
    </row>
    <row r="152" spans="1:14" ht="14.25" hidden="1" customHeight="1" x14ac:dyDescent="0.25">
      <c r="A152" s="39" t="s">
        <v>589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4" ht="14.25" hidden="1" customHeight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4" ht="14.25" hidden="1" customHeight="1" x14ac:dyDescent="0.2">
      <c r="A154" s="286" t="s">
        <v>199</v>
      </c>
      <c r="B154" s="248" t="s">
        <v>11</v>
      </c>
      <c r="C154" s="261" t="s">
        <v>513</v>
      </c>
      <c r="D154" s="261"/>
      <c r="E154" s="261"/>
      <c r="F154" s="261" t="s">
        <v>512</v>
      </c>
      <c r="G154" s="261"/>
      <c r="H154" s="261"/>
      <c r="I154" s="261"/>
      <c r="J154" s="261"/>
      <c r="K154" s="261"/>
    </row>
    <row r="155" spans="1:14" ht="14.25" hidden="1" customHeight="1" x14ac:dyDescent="0.2">
      <c r="A155" s="287"/>
      <c r="B155" s="248"/>
      <c r="C155" s="101" t="s">
        <v>8</v>
      </c>
      <c r="D155" s="101" t="s">
        <v>9</v>
      </c>
      <c r="E155" s="101" t="s">
        <v>571</v>
      </c>
      <c r="F155" s="101" t="s">
        <v>8</v>
      </c>
      <c r="G155" s="101" t="s">
        <v>9</v>
      </c>
      <c r="H155" s="101" t="s">
        <v>571</v>
      </c>
      <c r="I155" s="101"/>
      <c r="J155" s="101"/>
      <c r="K155" s="101"/>
    </row>
    <row r="156" spans="1:14" ht="14.25" hidden="1" customHeight="1" x14ac:dyDescent="0.2">
      <c r="A156" s="288"/>
      <c r="B156" s="248"/>
      <c r="C156" s="100" t="s">
        <v>82</v>
      </c>
      <c r="D156" s="100" t="s">
        <v>83</v>
      </c>
      <c r="E156" s="100" t="s">
        <v>84</v>
      </c>
      <c r="F156" s="100" t="s">
        <v>82</v>
      </c>
      <c r="G156" s="100" t="s">
        <v>83</v>
      </c>
      <c r="H156" s="100" t="s">
        <v>84</v>
      </c>
      <c r="I156" s="100"/>
      <c r="J156" s="100"/>
      <c r="K156" s="100"/>
    </row>
    <row r="157" spans="1:14" ht="14.25" hidden="1" customHeight="1" x14ac:dyDescent="0.2">
      <c r="A157" s="101" t="s">
        <v>19</v>
      </c>
      <c r="B157" s="101" t="s">
        <v>20</v>
      </c>
      <c r="C157" s="101" t="s">
        <v>21</v>
      </c>
      <c r="D157" s="101" t="s">
        <v>22</v>
      </c>
      <c r="E157" s="101" t="s">
        <v>23</v>
      </c>
      <c r="F157" s="101" t="s">
        <v>24</v>
      </c>
      <c r="G157" s="101" t="s">
        <v>25</v>
      </c>
      <c r="H157" s="101" t="s">
        <v>26</v>
      </c>
      <c r="I157" s="101"/>
      <c r="J157" s="101"/>
      <c r="K157" s="101"/>
    </row>
    <row r="158" spans="1:14" ht="39.799999999999997" hidden="1" customHeight="1" x14ac:dyDescent="0.2">
      <c r="A158" s="15"/>
      <c r="B158" s="67"/>
      <c r="C158" s="75"/>
      <c r="D158" s="75"/>
      <c r="E158" s="75"/>
      <c r="F158" s="98"/>
      <c r="G158" s="98"/>
      <c r="H158" s="98"/>
      <c r="I158" s="98"/>
      <c r="J158" s="98"/>
      <c r="K158" s="98"/>
    </row>
    <row r="159" spans="1:14" ht="16.45" hidden="1" customHeight="1" x14ac:dyDescent="0.2">
      <c r="A159" s="15"/>
      <c r="B159" s="67"/>
      <c r="C159" s="75"/>
      <c r="D159" s="75"/>
      <c r="E159" s="75"/>
      <c r="F159" s="98"/>
      <c r="G159" s="98"/>
      <c r="H159" s="98"/>
      <c r="I159" s="98"/>
      <c r="J159" s="98"/>
      <c r="K159" s="98"/>
    </row>
    <row r="160" spans="1:14" ht="14.25" hidden="1" customHeight="1" x14ac:dyDescent="0.2">
      <c r="A160" s="101" t="s">
        <v>121</v>
      </c>
      <c r="B160" s="67" t="s">
        <v>91</v>
      </c>
      <c r="C160" s="101" t="s">
        <v>1</v>
      </c>
      <c r="D160" s="101" t="s">
        <v>1</v>
      </c>
      <c r="E160" s="101" t="s">
        <v>1</v>
      </c>
      <c r="F160" s="101" t="s">
        <v>1</v>
      </c>
      <c r="G160" s="101" t="s">
        <v>1</v>
      </c>
      <c r="H160" s="101" t="s">
        <v>1</v>
      </c>
      <c r="I160" s="99"/>
      <c r="J160" s="99"/>
      <c r="K160" s="99"/>
    </row>
    <row r="161" spans="1:12" ht="14.25" hidden="1" customHeight="1" x14ac:dyDescent="0.2">
      <c r="A161" s="77"/>
      <c r="B161" s="77"/>
      <c r="C161" s="77"/>
      <c r="D161" s="77"/>
      <c r="E161" s="77"/>
      <c r="F161" s="77"/>
      <c r="G161" s="77"/>
      <c r="H161" s="77"/>
      <c r="I161" s="79"/>
      <c r="J161" s="79"/>
      <c r="K161" s="79"/>
    </row>
    <row r="162" spans="1:12" ht="13.15" x14ac:dyDescent="0.25">
      <c r="A162" s="39" t="s">
        <v>562</v>
      </c>
      <c r="B162" s="23"/>
      <c r="C162" s="23"/>
      <c r="D162" s="23"/>
      <c r="E162" s="23"/>
      <c r="F162" s="23"/>
      <c r="G162" s="23"/>
      <c r="H162" s="23"/>
      <c r="I162" s="107"/>
      <c r="J162" s="23"/>
      <c r="K162" s="23"/>
    </row>
    <row r="163" spans="1:12" ht="15.05" customHeight="1" x14ac:dyDescent="0.2">
      <c r="A163" s="286" t="s">
        <v>199</v>
      </c>
      <c r="B163" s="248" t="s">
        <v>11</v>
      </c>
      <c r="C163" s="261" t="s">
        <v>513</v>
      </c>
      <c r="D163" s="261"/>
      <c r="E163" s="261"/>
      <c r="F163" s="261" t="s">
        <v>512</v>
      </c>
      <c r="G163" s="261"/>
      <c r="H163" s="261"/>
      <c r="I163" s="261" t="s">
        <v>81</v>
      </c>
      <c r="J163" s="261"/>
      <c r="K163" s="261"/>
      <c r="L163" s="279" t="s">
        <v>672</v>
      </c>
    </row>
    <row r="164" spans="1:12" ht="15.85" customHeight="1" x14ac:dyDescent="0.2">
      <c r="A164" s="287"/>
      <c r="B164" s="248"/>
      <c r="C164" s="184" t="s">
        <v>9</v>
      </c>
      <c r="D164" s="184" t="s">
        <v>571</v>
      </c>
      <c r="E164" s="184" t="s">
        <v>630</v>
      </c>
      <c r="F164" s="184" t="s">
        <v>9</v>
      </c>
      <c r="G164" s="184" t="s">
        <v>571</v>
      </c>
      <c r="H164" s="184" t="s">
        <v>630</v>
      </c>
      <c r="I164" s="184" t="s">
        <v>9</v>
      </c>
      <c r="J164" s="184" t="s">
        <v>571</v>
      </c>
      <c r="K164" s="184" t="s">
        <v>630</v>
      </c>
      <c r="L164" s="280"/>
    </row>
    <row r="165" spans="1:12" ht="39.450000000000003" x14ac:dyDescent="0.2">
      <c r="A165" s="288"/>
      <c r="B165" s="248"/>
      <c r="C165" s="46" t="s">
        <v>82</v>
      </c>
      <c r="D165" s="46" t="s">
        <v>83</v>
      </c>
      <c r="E165" s="46" t="s">
        <v>84</v>
      </c>
      <c r="F165" s="46" t="s">
        <v>82</v>
      </c>
      <c r="G165" s="46" t="s">
        <v>83</v>
      </c>
      <c r="H165" s="46" t="s">
        <v>84</v>
      </c>
      <c r="I165" s="46" t="s">
        <v>82</v>
      </c>
      <c r="J165" s="46" t="s">
        <v>83</v>
      </c>
      <c r="K165" s="46" t="s">
        <v>84</v>
      </c>
      <c r="L165" s="281"/>
    </row>
    <row r="166" spans="1:12" ht="13.15" x14ac:dyDescent="0.2">
      <c r="A166" s="47" t="s">
        <v>19</v>
      </c>
      <c r="B166" s="47" t="s">
        <v>20</v>
      </c>
      <c r="C166" s="47" t="s">
        <v>21</v>
      </c>
      <c r="D166" s="47" t="s">
        <v>22</v>
      </c>
      <c r="E166" s="47" t="s">
        <v>23</v>
      </c>
      <c r="F166" s="47" t="s">
        <v>24</v>
      </c>
      <c r="G166" s="47" t="s">
        <v>25</v>
      </c>
      <c r="H166" s="47" t="s">
        <v>26</v>
      </c>
      <c r="I166" s="47" t="s">
        <v>27</v>
      </c>
      <c r="J166" s="47" t="s">
        <v>28</v>
      </c>
      <c r="K166" s="47" t="s">
        <v>29</v>
      </c>
      <c r="L166" s="184">
        <v>12</v>
      </c>
    </row>
    <row r="167" spans="1:12" ht="16.45" customHeight="1" x14ac:dyDescent="0.2">
      <c r="A167" s="15" t="s">
        <v>693</v>
      </c>
      <c r="B167" s="67" t="s">
        <v>31</v>
      </c>
      <c r="C167" s="75">
        <v>0</v>
      </c>
      <c r="D167" s="75">
        <v>0</v>
      </c>
      <c r="E167" s="75">
        <v>0</v>
      </c>
      <c r="F167" s="45">
        <v>0</v>
      </c>
      <c r="G167" s="139">
        <v>0</v>
      </c>
      <c r="H167" s="139">
        <v>0</v>
      </c>
      <c r="I167" s="139">
        <v>0</v>
      </c>
      <c r="J167" s="139">
        <v>0</v>
      </c>
      <c r="K167" s="139">
        <v>0</v>
      </c>
      <c r="L167" s="226">
        <v>220000</v>
      </c>
    </row>
    <row r="168" spans="1:12" ht="27.1" customHeight="1" x14ac:dyDescent="0.2">
      <c r="A168" s="15" t="s">
        <v>694</v>
      </c>
      <c r="B168" s="67" t="s">
        <v>33</v>
      </c>
      <c r="C168" s="75">
        <v>0</v>
      </c>
      <c r="D168" s="75">
        <v>0</v>
      </c>
      <c r="E168" s="75">
        <v>0</v>
      </c>
      <c r="F168" s="226">
        <v>0</v>
      </c>
      <c r="G168" s="226">
        <v>0</v>
      </c>
      <c r="H168" s="226">
        <v>0</v>
      </c>
      <c r="I168" s="226">
        <v>0</v>
      </c>
      <c r="J168" s="226">
        <v>0</v>
      </c>
      <c r="K168" s="226">
        <v>0</v>
      </c>
      <c r="L168" s="226">
        <v>87320</v>
      </c>
    </row>
    <row r="169" spans="1:12" ht="27.1" customHeight="1" x14ac:dyDescent="0.2">
      <c r="A169" s="15" t="s">
        <v>702</v>
      </c>
      <c r="B169" s="67"/>
      <c r="C169" s="75">
        <v>5</v>
      </c>
      <c r="D169" s="75"/>
      <c r="E169" s="75"/>
      <c r="F169" s="232">
        <v>47000</v>
      </c>
      <c r="G169" s="232"/>
      <c r="H169" s="232"/>
      <c r="I169" s="232">
        <f>C169*F169</f>
        <v>235000</v>
      </c>
      <c r="J169" s="232"/>
      <c r="K169" s="232"/>
      <c r="L169" s="232"/>
    </row>
    <row r="170" spans="1:12" ht="15.85" customHeight="1" x14ac:dyDescent="0.2">
      <c r="A170" s="47" t="s">
        <v>121</v>
      </c>
      <c r="B170" s="67" t="s">
        <v>581</v>
      </c>
      <c r="C170" s="47" t="s">
        <v>1</v>
      </c>
      <c r="D170" s="47" t="s">
        <v>1</v>
      </c>
      <c r="E170" s="47" t="s">
        <v>1</v>
      </c>
      <c r="F170" s="47" t="s">
        <v>1</v>
      </c>
      <c r="G170" s="47" t="s">
        <v>1</v>
      </c>
      <c r="H170" s="47" t="s">
        <v>1</v>
      </c>
      <c r="I170" s="55">
        <f>SUM(I167:I169)</f>
        <v>235000</v>
      </c>
      <c r="J170" s="55">
        <f>SUM(J167:J167)</f>
        <v>0</v>
      </c>
      <c r="K170" s="55">
        <f>SUM(K167:K167)</f>
        <v>0</v>
      </c>
      <c r="L170" s="228">
        <f>SUM(L167:L168)</f>
        <v>307320</v>
      </c>
    </row>
    <row r="171" spans="1:12" ht="15.85" customHeight="1" x14ac:dyDescent="0.2">
      <c r="A171" s="77"/>
      <c r="B171" s="77"/>
      <c r="C171" s="77"/>
      <c r="D171" s="77"/>
      <c r="E171" s="77"/>
      <c r="F171" s="77"/>
      <c r="G171" s="77"/>
      <c r="H171" s="77"/>
      <c r="I171" s="79"/>
      <c r="J171" s="79"/>
      <c r="K171" s="79"/>
    </row>
    <row r="172" spans="1:12" ht="13.15" x14ac:dyDescent="0.25">
      <c r="A172" s="39" t="s">
        <v>516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</row>
    <row r="173" spans="1:12" ht="13.15" hidden="1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</row>
    <row r="174" spans="1:12" ht="15.85" hidden="1" customHeight="1" x14ac:dyDescent="0.2">
      <c r="A174" s="286" t="s">
        <v>199</v>
      </c>
      <c r="B174" s="248" t="s">
        <v>11</v>
      </c>
      <c r="C174" s="261" t="s">
        <v>513</v>
      </c>
      <c r="D174" s="261"/>
      <c r="E174" s="261"/>
      <c r="F174" s="261" t="s">
        <v>512</v>
      </c>
      <c r="G174" s="261"/>
      <c r="H174" s="261"/>
      <c r="I174" s="261" t="s">
        <v>81</v>
      </c>
      <c r="J174" s="261"/>
      <c r="K174" s="261"/>
    </row>
    <row r="175" spans="1:12" ht="14.25" hidden="1" customHeight="1" x14ac:dyDescent="0.2">
      <c r="A175" s="287"/>
      <c r="B175" s="248"/>
      <c r="C175" s="142" t="s">
        <v>9</v>
      </c>
      <c r="D175" s="142" t="s">
        <v>571</v>
      </c>
      <c r="E175" s="142" t="s">
        <v>630</v>
      </c>
      <c r="F175" s="142" t="s">
        <v>9</v>
      </c>
      <c r="G175" s="142" t="s">
        <v>571</v>
      </c>
      <c r="H175" s="142" t="s">
        <v>630</v>
      </c>
      <c r="I175" s="142" t="s">
        <v>9</v>
      </c>
      <c r="J175" s="142" t="s">
        <v>571</v>
      </c>
      <c r="K175" s="142" t="s">
        <v>630</v>
      </c>
    </row>
    <row r="176" spans="1:12" ht="39.450000000000003" hidden="1" x14ac:dyDescent="0.2">
      <c r="A176" s="288"/>
      <c r="B176" s="248"/>
      <c r="C176" s="46" t="s">
        <v>82</v>
      </c>
      <c r="D176" s="46" t="s">
        <v>83</v>
      </c>
      <c r="E176" s="46" t="s">
        <v>84</v>
      </c>
      <c r="F176" s="46" t="s">
        <v>82</v>
      </c>
      <c r="G176" s="46" t="s">
        <v>83</v>
      </c>
      <c r="H176" s="46" t="s">
        <v>84</v>
      </c>
      <c r="I176" s="46" t="s">
        <v>82</v>
      </c>
      <c r="J176" s="46" t="s">
        <v>83</v>
      </c>
      <c r="K176" s="46" t="s">
        <v>84</v>
      </c>
    </row>
    <row r="177" spans="1:11" ht="13.15" hidden="1" x14ac:dyDescent="0.2">
      <c r="A177" s="47" t="s">
        <v>19</v>
      </c>
      <c r="B177" s="47" t="s">
        <v>20</v>
      </c>
      <c r="C177" s="47" t="s">
        <v>21</v>
      </c>
      <c r="D177" s="47" t="s">
        <v>22</v>
      </c>
      <c r="E177" s="47" t="s">
        <v>23</v>
      </c>
      <c r="F177" s="47" t="s">
        <v>24</v>
      </c>
      <c r="G177" s="47" t="s">
        <v>25</v>
      </c>
      <c r="H177" s="47" t="s">
        <v>26</v>
      </c>
      <c r="I177" s="47" t="s">
        <v>27</v>
      </c>
      <c r="J177" s="47" t="s">
        <v>28</v>
      </c>
      <c r="K177" s="47" t="s">
        <v>29</v>
      </c>
    </row>
    <row r="178" spans="1:11" ht="14.25" hidden="1" customHeight="1" x14ac:dyDescent="0.2">
      <c r="A178" s="15" t="s">
        <v>514</v>
      </c>
      <c r="B178" s="47" t="s">
        <v>31</v>
      </c>
      <c r="C178" s="75"/>
      <c r="D178" s="75"/>
      <c r="E178" s="75"/>
      <c r="F178" s="45"/>
      <c r="G178" s="45"/>
      <c r="H178" s="45"/>
      <c r="I178" s="45"/>
      <c r="J178" s="45"/>
      <c r="K178" s="45"/>
    </row>
    <row r="179" spans="1:11" ht="13.15" hidden="1" x14ac:dyDescent="0.2">
      <c r="A179" s="47" t="s">
        <v>121</v>
      </c>
      <c r="B179" s="67" t="s">
        <v>582</v>
      </c>
      <c r="C179" s="47" t="s">
        <v>1</v>
      </c>
      <c r="D179" s="47" t="s">
        <v>1</v>
      </c>
      <c r="E179" s="47" t="s">
        <v>1</v>
      </c>
      <c r="F179" s="47" t="s">
        <v>1</v>
      </c>
      <c r="G179" s="47" t="s">
        <v>1</v>
      </c>
      <c r="H179" s="47" t="s">
        <v>1</v>
      </c>
      <c r="I179" s="80">
        <f>SUM(I178:I178)</f>
        <v>0</v>
      </c>
      <c r="J179" s="55">
        <f>SUM(J178:J178)</f>
        <v>0</v>
      </c>
      <c r="K179" s="55">
        <f>SUM(K178:K178)</f>
        <v>0</v>
      </c>
    </row>
    <row r="180" spans="1:11" ht="13.15" hidden="1" x14ac:dyDescent="0.2">
      <c r="A180" s="77"/>
      <c r="B180" s="77"/>
      <c r="C180" s="77"/>
      <c r="D180" s="77"/>
      <c r="E180" s="77"/>
      <c r="F180" s="77"/>
      <c r="G180" s="77"/>
      <c r="H180" s="77"/>
      <c r="I180" s="81"/>
      <c r="J180" s="79"/>
      <c r="K180" s="79"/>
    </row>
    <row r="181" spans="1:11" ht="13.15" x14ac:dyDescent="0.25">
      <c r="A181" s="39" t="s">
        <v>536</v>
      </c>
      <c r="B181" s="23"/>
      <c r="C181" s="23"/>
      <c r="D181" s="23"/>
      <c r="E181" s="23"/>
      <c r="F181" s="23"/>
      <c r="G181" s="23"/>
      <c r="H181" s="23"/>
      <c r="I181" s="23"/>
      <c r="J181" s="23"/>
      <c r="K181" s="23"/>
    </row>
    <row r="182" spans="1:11" ht="13.15" hidden="1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</row>
    <row r="183" spans="1:11" ht="15.05" hidden="1" customHeight="1" x14ac:dyDescent="0.2">
      <c r="A183" s="286" t="s">
        <v>199</v>
      </c>
      <c r="B183" s="248" t="s">
        <v>11</v>
      </c>
      <c r="C183" s="261" t="s">
        <v>513</v>
      </c>
      <c r="D183" s="261"/>
      <c r="E183" s="261"/>
      <c r="F183" s="261" t="s">
        <v>512</v>
      </c>
      <c r="G183" s="261"/>
      <c r="H183" s="261"/>
      <c r="I183" s="261" t="s">
        <v>81</v>
      </c>
      <c r="J183" s="261"/>
      <c r="K183" s="261"/>
    </row>
    <row r="184" spans="1:11" ht="15.85" hidden="1" customHeight="1" x14ac:dyDescent="0.2">
      <c r="A184" s="287"/>
      <c r="B184" s="248"/>
      <c r="C184" s="101" t="s">
        <v>8</v>
      </c>
      <c r="D184" s="101" t="s">
        <v>9</v>
      </c>
      <c r="E184" s="101" t="s">
        <v>571</v>
      </c>
      <c r="F184" s="101" t="s">
        <v>8</v>
      </c>
      <c r="G184" s="101" t="s">
        <v>9</v>
      </c>
      <c r="H184" s="101" t="s">
        <v>571</v>
      </c>
      <c r="I184" s="101" t="s">
        <v>8</v>
      </c>
      <c r="J184" s="101" t="s">
        <v>9</v>
      </c>
      <c r="K184" s="101" t="s">
        <v>571</v>
      </c>
    </row>
    <row r="185" spans="1:11" ht="39.450000000000003" hidden="1" x14ac:dyDescent="0.2">
      <c r="A185" s="288"/>
      <c r="B185" s="248"/>
      <c r="C185" s="46" t="s">
        <v>82</v>
      </c>
      <c r="D185" s="46" t="s">
        <v>83</v>
      </c>
      <c r="E185" s="46" t="s">
        <v>84</v>
      </c>
      <c r="F185" s="46" t="s">
        <v>82</v>
      </c>
      <c r="G185" s="46" t="s">
        <v>83</v>
      </c>
      <c r="H185" s="46" t="s">
        <v>84</v>
      </c>
      <c r="I185" s="46" t="s">
        <v>82</v>
      </c>
      <c r="J185" s="46" t="s">
        <v>83</v>
      </c>
      <c r="K185" s="46" t="s">
        <v>84</v>
      </c>
    </row>
    <row r="186" spans="1:11" ht="13.15" hidden="1" x14ac:dyDescent="0.2">
      <c r="A186" s="47" t="s">
        <v>19</v>
      </c>
      <c r="B186" s="47" t="s">
        <v>20</v>
      </c>
      <c r="C186" s="47" t="s">
        <v>21</v>
      </c>
      <c r="D186" s="47" t="s">
        <v>22</v>
      </c>
      <c r="E186" s="47" t="s">
        <v>23</v>
      </c>
      <c r="F186" s="47" t="s">
        <v>24</v>
      </c>
      <c r="G186" s="47" t="s">
        <v>25</v>
      </c>
      <c r="H186" s="47" t="s">
        <v>26</v>
      </c>
      <c r="I186" s="47" t="s">
        <v>27</v>
      </c>
      <c r="J186" s="47" t="s">
        <v>28</v>
      </c>
      <c r="K186" s="47" t="s">
        <v>29</v>
      </c>
    </row>
    <row r="187" spans="1:11" ht="39.799999999999997" hidden="1" customHeight="1" x14ac:dyDescent="0.2">
      <c r="A187" s="15"/>
      <c r="B187" s="47" t="s">
        <v>31</v>
      </c>
      <c r="C187" s="75"/>
      <c r="D187" s="75">
        <f>C187</f>
        <v>0</v>
      </c>
      <c r="E187" s="75">
        <f>C187</f>
        <v>0</v>
      </c>
      <c r="F187" s="45"/>
      <c r="G187" s="45">
        <f>F187</f>
        <v>0</v>
      </c>
      <c r="H187" s="45">
        <f>F187</f>
        <v>0</v>
      </c>
      <c r="I187" s="45">
        <f>F187</f>
        <v>0</v>
      </c>
      <c r="J187" s="45">
        <f>I187</f>
        <v>0</v>
      </c>
      <c r="K187" s="45">
        <f>I187</f>
        <v>0</v>
      </c>
    </row>
    <row r="188" spans="1:11" ht="13.15" hidden="1" x14ac:dyDescent="0.2">
      <c r="A188" s="47" t="s">
        <v>121</v>
      </c>
      <c r="B188" s="67" t="s">
        <v>583</v>
      </c>
      <c r="C188" s="47" t="s">
        <v>1</v>
      </c>
      <c r="D188" s="47" t="s">
        <v>1</v>
      </c>
      <c r="E188" s="47" t="s">
        <v>1</v>
      </c>
      <c r="F188" s="47" t="s">
        <v>1</v>
      </c>
      <c r="G188" s="47" t="s">
        <v>1</v>
      </c>
      <c r="H188" s="47" t="s">
        <v>1</v>
      </c>
      <c r="I188" s="55">
        <f>SUM(I187:I187)</f>
        <v>0</v>
      </c>
      <c r="J188" s="55">
        <f>SUM(J187:J187)</f>
        <v>0</v>
      </c>
      <c r="K188" s="55">
        <f>SUM(K187:K187)</f>
        <v>0</v>
      </c>
    </row>
    <row r="189" spans="1:11" ht="12.55" customHeight="1" x14ac:dyDescent="0.2">
      <c r="A189" s="77"/>
      <c r="B189" s="77"/>
      <c r="C189" s="77"/>
      <c r="D189" s="77"/>
      <c r="E189" s="77"/>
      <c r="F189" s="77"/>
      <c r="G189" s="77"/>
      <c r="H189" s="77"/>
      <c r="I189" s="79"/>
      <c r="J189" s="79"/>
      <c r="K189" s="79"/>
    </row>
    <row r="190" spans="1:11" ht="13.8" customHeight="1" x14ac:dyDescent="0.25">
      <c r="A190" s="39" t="s">
        <v>515</v>
      </c>
      <c r="B190" s="23"/>
      <c r="C190" s="23"/>
      <c r="D190" s="23"/>
      <c r="E190" s="23"/>
      <c r="F190" s="23"/>
      <c r="G190" s="23"/>
      <c r="H190" s="23"/>
      <c r="I190" s="23"/>
      <c r="J190" s="23"/>
      <c r="K190" s="23"/>
    </row>
    <row r="191" spans="1:11" ht="13.15" hidden="1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</row>
    <row r="192" spans="1:11" ht="14.25" customHeight="1" x14ac:dyDescent="0.2">
      <c r="A192" s="286" t="s">
        <v>199</v>
      </c>
      <c r="B192" s="248" t="s">
        <v>11</v>
      </c>
      <c r="C192" s="261" t="s">
        <v>513</v>
      </c>
      <c r="D192" s="261"/>
      <c r="E192" s="261"/>
      <c r="F192" s="261" t="s">
        <v>512</v>
      </c>
      <c r="G192" s="261"/>
      <c r="H192" s="261"/>
      <c r="I192" s="261" t="s">
        <v>81</v>
      </c>
      <c r="J192" s="261"/>
      <c r="K192" s="261"/>
    </row>
    <row r="193" spans="1:11" ht="14.25" customHeight="1" x14ac:dyDescent="0.2">
      <c r="A193" s="287"/>
      <c r="B193" s="248"/>
      <c r="C193" s="142" t="s">
        <v>9</v>
      </c>
      <c r="D193" s="142" t="s">
        <v>571</v>
      </c>
      <c r="E193" s="142" t="s">
        <v>630</v>
      </c>
      <c r="F193" s="142" t="s">
        <v>9</v>
      </c>
      <c r="G193" s="142" t="s">
        <v>571</v>
      </c>
      <c r="H193" s="142" t="s">
        <v>630</v>
      </c>
      <c r="I193" s="142" t="s">
        <v>9</v>
      </c>
      <c r="J193" s="142" t="s">
        <v>571</v>
      </c>
      <c r="K193" s="142" t="s">
        <v>630</v>
      </c>
    </row>
    <row r="194" spans="1:11" ht="39.450000000000003" x14ac:dyDescent="0.2">
      <c r="A194" s="288"/>
      <c r="B194" s="248"/>
      <c r="C194" s="46" t="s">
        <v>82</v>
      </c>
      <c r="D194" s="46" t="s">
        <v>83</v>
      </c>
      <c r="E194" s="46" t="s">
        <v>84</v>
      </c>
      <c r="F194" s="46" t="s">
        <v>82</v>
      </c>
      <c r="G194" s="46" t="s">
        <v>83</v>
      </c>
      <c r="H194" s="46" t="s">
        <v>84</v>
      </c>
      <c r="I194" s="46" t="s">
        <v>82</v>
      </c>
      <c r="J194" s="46" t="s">
        <v>83</v>
      </c>
      <c r="K194" s="46" t="s">
        <v>84</v>
      </c>
    </row>
    <row r="195" spans="1:11" ht="13.15" x14ac:dyDescent="0.2">
      <c r="A195" s="47" t="s">
        <v>19</v>
      </c>
      <c r="B195" s="47" t="s">
        <v>20</v>
      </c>
      <c r="C195" s="47" t="s">
        <v>21</v>
      </c>
      <c r="D195" s="47" t="s">
        <v>22</v>
      </c>
      <c r="E195" s="47" t="s">
        <v>23</v>
      </c>
      <c r="F195" s="47" t="s">
        <v>24</v>
      </c>
      <c r="G195" s="47" t="s">
        <v>25</v>
      </c>
      <c r="H195" s="47" t="s">
        <v>26</v>
      </c>
      <c r="I195" s="47" t="s">
        <v>27</v>
      </c>
      <c r="J195" s="47" t="s">
        <v>28</v>
      </c>
      <c r="K195" s="47" t="s">
        <v>29</v>
      </c>
    </row>
    <row r="196" spans="1:11" ht="42.6" customHeight="1" x14ac:dyDescent="0.2">
      <c r="A196" s="15" t="s">
        <v>705</v>
      </c>
      <c r="B196" s="47" t="s">
        <v>31</v>
      </c>
      <c r="C196" s="75"/>
      <c r="D196" s="75"/>
      <c r="E196" s="75"/>
      <c r="F196" s="45"/>
      <c r="G196" s="45"/>
      <c r="H196" s="45"/>
      <c r="I196" s="45">
        <v>10000</v>
      </c>
      <c r="J196" s="45"/>
      <c r="K196" s="45"/>
    </row>
    <row r="197" spans="1:11" ht="13.15" x14ac:dyDescent="0.2">
      <c r="A197" s="47" t="s">
        <v>121</v>
      </c>
      <c r="B197" s="67" t="s">
        <v>584</v>
      </c>
      <c r="C197" s="47" t="s">
        <v>1</v>
      </c>
      <c r="D197" s="47" t="s">
        <v>1</v>
      </c>
      <c r="E197" s="47" t="s">
        <v>1</v>
      </c>
      <c r="F197" s="47" t="s">
        <v>1</v>
      </c>
      <c r="G197" s="47" t="s">
        <v>1</v>
      </c>
      <c r="H197" s="47" t="s">
        <v>1</v>
      </c>
      <c r="I197" s="55">
        <f>SUM(I196:I196)</f>
        <v>10000</v>
      </c>
      <c r="J197" s="55">
        <f>SUM(J196:J196)</f>
        <v>0</v>
      </c>
      <c r="K197" s="55">
        <f>SUM(K196:K196)</f>
        <v>0</v>
      </c>
    </row>
    <row r="198" spans="1:11" ht="13.15" x14ac:dyDescent="0.2">
      <c r="A198" s="77"/>
      <c r="B198" s="77"/>
      <c r="C198" s="77"/>
      <c r="D198" s="77"/>
      <c r="E198" s="77"/>
      <c r="F198" s="77"/>
      <c r="G198" s="77"/>
      <c r="H198" s="77"/>
      <c r="I198" s="79"/>
      <c r="J198" s="79"/>
      <c r="K198" s="79"/>
    </row>
    <row r="199" spans="1:11" ht="13.15" x14ac:dyDescent="0.25">
      <c r="A199" s="39" t="s">
        <v>518</v>
      </c>
      <c r="B199" s="23"/>
      <c r="C199" s="23"/>
      <c r="D199" s="23"/>
      <c r="E199" s="23"/>
      <c r="F199" s="23"/>
      <c r="G199" s="23"/>
      <c r="H199" s="23"/>
      <c r="I199" s="23"/>
      <c r="J199" s="23"/>
      <c r="K199" s="23"/>
    </row>
    <row r="200" spans="1:11" ht="13.15" hidden="1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</row>
    <row r="201" spans="1:11" ht="16.45" hidden="1" customHeight="1" x14ac:dyDescent="0.2">
      <c r="A201" s="286" t="s">
        <v>199</v>
      </c>
      <c r="B201" s="248" t="s">
        <v>11</v>
      </c>
      <c r="C201" s="261" t="s">
        <v>513</v>
      </c>
      <c r="D201" s="261"/>
      <c r="E201" s="261"/>
      <c r="F201" s="261" t="s">
        <v>512</v>
      </c>
      <c r="G201" s="261"/>
      <c r="H201" s="261"/>
      <c r="I201" s="261" t="s">
        <v>81</v>
      </c>
      <c r="J201" s="261"/>
      <c r="K201" s="261"/>
    </row>
    <row r="202" spans="1:11" ht="14.25" hidden="1" customHeight="1" x14ac:dyDescent="0.2">
      <c r="A202" s="287"/>
      <c r="B202" s="248"/>
      <c r="C202" s="101" t="s">
        <v>8</v>
      </c>
      <c r="D202" s="101" t="s">
        <v>9</v>
      </c>
      <c r="E202" s="101" t="s">
        <v>571</v>
      </c>
      <c r="F202" s="101" t="s">
        <v>8</v>
      </c>
      <c r="G202" s="101" t="s">
        <v>9</v>
      </c>
      <c r="H202" s="101" t="s">
        <v>571</v>
      </c>
      <c r="I202" s="101" t="s">
        <v>8</v>
      </c>
      <c r="J202" s="101" t="s">
        <v>9</v>
      </c>
      <c r="K202" s="101" t="s">
        <v>571</v>
      </c>
    </row>
    <row r="203" spans="1:11" ht="39.450000000000003" hidden="1" x14ac:dyDescent="0.2">
      <c r="A203" s="288"/>
      <c r="B203" s="248"/>
      <c r="C203" s="46" t="s">
        <v>82</v>
      </c>
      <c r="D203" s="46" t="s">
        <v>83</v>
      </c>
      <c r="E203" s="46" t="s">
        <v>84</v>
      </c>
      <c r="F203" s="46" t="s">
        <v>82</v>
      </c>
      <c r="G203" s="46" t="s">
        <v>83</v>
      </c>
      <c r="H203" s="46" t="s">
        <v>84</v>
      </c>
      <c r="I203" s="46" t="s">
        <v>82</v>
      </c>
      <c r="J203" s="46" t="s">
        <v>83</v>
      </c>
      <c r="K203" s="46" t="s">
        <v>84</v>
      </c>
    </row>
    <row r="204" spans="1:11" ht="13.15" hidden="1" x14ac:dyDescent="0.2">
      <c r="A204" s="47" t="s">
        <v>19</v>
      </c>
      <c r="B204" s="47" t="s">
        <v>20</v>
      </c>
      <c r="C204" s="47" t="s">
        <v>21</v>
      </c>
      <c r="D204" s="47" t="s">
        <v>22</v>
      </c>
      <c r="E204" s="47" t="s">
        <v>23</v>
      </c>
      <c r="F204" s="47" t="s">
        <v>24</v>
      </c>
      <c r="G204" s="47" t="s">
        <v>25</v>
      </c>
      <c r="H204" s="47" t="s">
        <v>26</v>
      </c>
      <c r="I204" s="47" t="s">
        <v>27</v>
      </c>
      <c r="J204" s="47" t="s">
        <v>28</v>
      </c>
      <c r="K204" s="47" t="s">
        <v>29</v>
      </c>
    </row>
    <row r="205" spans="1:11" ht="27.1" hidden="1" customHeight="1" x14ac:dyDescent="0.2">
      <c r="A205" s="15"/>
      <c r="B205" s="47" t="s">
        <v>31</v>
      </c>
      <c r="C205" s="75"/>
      <c r="D205" s="75">
        <f>C205</f>
        <v>0</v>
      </c>
      <c r="E205" s="75">
        <f>C205</f>
        <v>0</v>
      </c>
      <c r="F205" s="45"/>
      <c r="G205" s="45">
        <f>F205</f>
        <v>0</v>
      </c>
      <c r="H205" s="45">
        <f>F205</f>
        <v>0</v>
      </c>
      <c r="I205" s="45">
        <f>F205</f>
        <v>0</v>
      </c>
      <c r="J205" s="45">
        <f>I205</f>
        <v>0</v>
      </c>
      <c r="K205" s="45">
        <f>I205</f>
        <v>0</v>
      </c>
    </row>
    <row r="206" spans="1:11" ht="13.15" hidden="1" x14ac:dyDescent="0.2">
      <c r="A206" s="47" t="s">
        <v>121</v>
      </c>
      <c r="B206" s="67" t="s">
        <v>585</v>
      </c>
      <c r="C206" s="47" t="s">
        <v>1</v>
      </c>
      <c r="D206" s="47" t="s">
        <v>1</v>
      </c>
      <c r="E206" s="47" t="s">
        <v>1</v>
      </c>
      <c r="F206" s="47" t="s">
        <v>1</v>
      </c>
      <c r="G206" s="47" t="s">
        <v>1</v>
      </c>
      <c r="H206" s="47" t="s">
        <v>1</v>
      </c>
      <c r="I206" s="55">
        <f>SUM(I205:I205)</f>
        <v>0</v>
      </c>
      <c r="J206" s="55">
        <f>SUM(J205:J205)</f>
        <v>0</v>
      </c>
      <c r="K206" s="55">
        <f>SUM(K205:K205)</f>
        <v>0</v>
      </c>
    </row>
    <row r="207" spans="1:11" ht="13.15" hidden="1" x14ac:dyDescent="0.2">
      <c r="A207" s="77"/>
      <c r="B207" s="77"/>
      <c r="C207" s="77"/>
      <c r="D207" s="77"/>
      <c r="E207" s="77"/>
      <c r="F207" s="77"/>
      <c r="G207" s="77"/>
      <c r="H207" s="77"/>
      <c r="I207" s="79"/>
      <c r="J207" s="79"/>
      <c r="K207" s="79"/>
    </row>
    <row r="208" spans="1:11" ht="13.15" x14ac:dyDescent="0.25">
      <c r="A208" s="39" t="s">
        <v>519</v>
      </c>
      <c r="B208" s="23"/>
      <c r="C208" s="23"/>
      <c r="D208" s="23"/>
      <c r="E208" s="23"/>
      <c r="F208" s="23"/>
      <c r="G208" s="23"/>
      <c r="H208" s="23"/>
      <c r="I208" s="23"/>
      <c r="J208" s="23"/>
      <c r="K208" s="23"/>
    </row>
    <row r="209" spans="1:13" ht="13.15" hidden="1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</row>
    <row r="210" spans="1:13" ht="14.25" hidden="1" customHeight="1" x14ac:dyDescent="0.2">
      <c r="A210" s="286" t="s">
        <v>199</v>
      </c>
      <c r="B210" s="248" t="s">
        <v>11</v>
      </c>
      <c r="C210" s="261" t="s">
        <v>513</v>
      </c>
      <c r="D210" s="261"/>
      <c r="E210" s="261"/>
      <c r="F210" s="261" t="s">
        <v>512</v>
      </c>
      <c r="G210" s="261"/>
      <c r="H210" s="261"/>
      <c r="I210" s="261" t="s">
        <v>81</v>
      </c>
      <c r="J210" s="261"/>
      <c r="K210" s="261"/>
    </row>
    <row r="211" spans="1:13" ht="14.25" hidden="1" customHeight="1" x14ac:dyDescent="0.2">
      <c r="A211" s="287"/>
      <c r="B211" s="248"/>
      <c r="C211" s="142" t="s">
        <v>9</v>
      </c>
      <c r="D211" s="142" t="s">
        <v>571</v>
      </c>
      <c r="E211" s="142" t="s">
        <v>630</v>
      </c>
      <c r="F211" s="142" t="s">
        <v>9</v>
      </c>
      <c r="G211" s="142" t="s">
        <v>571</v>
      </c>
      <c r="H211" s="142" t="s">
        <v>630</v>
      </c>
      <c r="I211" s="142" t="s">
        <v>9</v>
      </c>
      <c r="J211" s="142" t="s">
        <v>571</v>
      </c>
      <c r="K211" s="142" t="s">
        <v>630</v>
      </c>
    </row>
    <row r="212" spans="1:13" ht="39.450000000000003" hidden="1" x14ac:dyDescent="0.2">
      <c r="A212" s="288"/>
      <c r="B212" s="248"/>
      <c r="C212" s="46" t="s">
        <v>82</v>
      </c>
      <c r="D212" s="46" t="s">
        <v>83</v>
      </c>
      <c r="E212" s="46" t="s">
        <v>84</v>
      </c>
      <c r="F212" s="46" t="s">
        <v>82</v>
      </c>
      <c r="G212" s="46" t="s">
        <v>83</v>
      </c>
      <c r="H212" s="46" t="s">
        <v>84</v>
      </c>
      <c r="I212" s="46" t="s">
        <v>82</v>
      </c>
      <c r="J212" s="46" t="s">
        <v>83</v>
      </c>
      <c r="K212" s="46" t="s">
        <v>84</v>
      </c>
    </row>
    <row r="213" spans="1:13" ht="13.15" hidden="1" x14ac:dyDescent="0.2">
      <c r="A213" s="47" t="s">
        <v>19</v>
      </c>
      <c r="B213" s="47" t="s">
        <v>20</v>
      </c>
      <c r="C213" s="47" t="s">
        <v>21</v>
      </c>
      <c r="D213" s="47" t="s">
        <v>22</v>
      </c>
      <c r="E213" s="47" t="s">
        <v>23</v>
      </c>
      <c r="F213" s="47" t="s">
        <v>24</v>
      </c>
      <c r="G213" s="47" t="s">
        <v>25</v>
      </c>
      <c r="H213" s="47" t="s">
        <v>26</v>
      </c>
      <c r="I213" s="47" t="s">
        <v>27</v>
      </c>
      <c r="J213" s="47" t="s">
        <v>28</v>
      </c>
      <c r="K213" s="47" t="s">
        <v>29</v>
      </c>
    </row>
    <row r="214" spans="1:13" ht="65.3" hidden="1" customHeight="1" x14ac:dyDescent="0.2">
      <c r="A214" s="15" t="s">
        <v>520</v>
      </c>
      <c r="B214" s="47" t="s">
        <v>31</v>
      </c>
      <c r="C214" s="75"/>
      <c r="D214" s="75"/>
      <c r="E214" s="75"/>
      <c r="F214" s="45"/>
      <c r="G214" s="45"/>
      <c r="H214" s="45"/>
      <c r="I214" s="45"/>
      <c r="J214" s="45"/>
      <c r="K214" s="45"/>
    </row>
    <row r="215" spans="1:13" ht="13.15" hidden="1" x14ac:dyDescent="0.2">
      <c r="A215" s="47" t="s">
        <v>121</v>
      </c>
      <c r="B215" s="67" t="s">
        <v>586</v>
      </c>
      <c r="C215" s="47" t="s">
        <v>1</v>
      </c>
      <c r="D215" s="47" t="s">
        <v>1</v>
      </c>
      <c r="E215" s="47" t="s">
        <v>1</v>
      </c>
      <c r="F215" s="47" t="s">
        <v>1</v>
      </c>
      <c r="G215" s="47" t="s">
        <v>1</v>
      </c>
      <c r="H215" s="47" t="s">
        <v>1</v>
      </c>
      <c r="I215" s="55">
        <f>SUM(I214:I214)</f>
        <v>0</v>
      </c>
      <c r="J215" s="55">
        <f>SUM(J214:J214)</f>
        <v>0</v>
      </c>
      <c r="K215" s="55">
        <f>SUM(K214:K214)</f>
        <v>0</v>
      </c>
    </row>
    <row r="216" spans="1:13" ht="13.15" x14ac:dyDescent="0.2">
      <c r="A216" s="77"/>
      <c r="B216" s="77"/>
      <c r="C216" s="77"/>
      <c r="D216" s="77"/>
      <c r="E216" s="77"/>
      <c r="F216" s="77"/>
      <c r="G216" s="77"/>
      <c r="H216" s="77"/>
      <c r="I216" s="79"/>
      <c r="J216" s="79"/>
      <c r="K216" s="79"/>
    </row>
    <row r="217" spans="1:13" ht="13.15" x14ac:dyDescent="0.25">
      <c r="A217" s="39" t="s">
        <v>521</v>
      </c>
      <c r="B217" s="23"/>
      <c r="C217" s="23"/>
      <c r="D217" s="23"/>
      <c r="E217" s="23"/>
      <c r="F217" s="23"/>
      <c r="G217" s="23"/>
      <c r="H217" s="23"/>
      <c r="I217" s="23"/>
      <c r="J217" s="23"/>
      <c r="K217" s="23"/>
    </row>
    <row r="218" spans="1:13" ht="13.15" hidden="1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M218" s="82"/>
    </row>
    <row r="219" spans="1:13" ht="15.05" customHeight="1" x14ac:dyDescent="0.2">
      <c r="A219" s="286" t="s">
        <v>199</v>
      </c>
      <c r="B219" s="248" t="s">
        <v>11</v>
      </c>
      <c r="C219" s="261" t="s">
        <v>513</v>
      </c>
      <c r="D219" s="261"/>
      <c r="E219" s="261"/>
      <c r="F219" s="261" t="s">
        <v>512</v>
      </c>
      <c r="G219" s="261"/>
      <c r="H219" s="261"/>
      <c r="I219" s="261" t="s">
        <v>81</v>
      </c>
      <c r="J219" s="261"/>
      <c r="K219" s="261"/>
      <c r="L219" s="279" t="s">
        <v>672</v>
      </c>
      <c r="M219" s="289"/>
    </row>
    <row r="220" spans="1:13" ht="15.05" customHeight="1" x14ac:dyDescent="0.2">
      <c r="A220" s="287"/>
      <c r="B220" s="248"/>
      <c r="C220" s="142" t="s">
        <v>9</v>
      </c>
      <c r="D220" s="142" t="s">
        <v>571</v>
      </c>
      <c r="E220" s="142" t="s">
        <v>630</v>
      </c>
      <c r="F220" s="142" t="s">
        <v>9</v>
      </c>
      <c r="G220" s="142" t="s">
        <v>571</v>
      </c>
      <c r="H220" s="142" t="s">
        <v>630</v>
      </c>
      <c r="I220" s="142" t="s">
        <v>9</v>
      </c>
      <c r="J220" s="142" t="s">
        <v>571</v>
      </c>
      <c r="K220" s="142" t="s">
        <v>630</v>
      </c>
      <c r="L220" s="280"/>
      <c r="M220" s="289"/>
    </row>
    <row r="221" spans="1:13" ht="39.450000000000003" x14ac:dyDescent="0.2">
      <c r="A221" s="288"/>
      <c r="B221" s="248"/>
      <c r="C221" s="46" t="s">
        <v>82</v>
      </c>
      <c r="D221" s="46" t="s">
        <v>83</v>
      </c>
      <c r="E221" s="46" t="s">
        <v>84</v>
      </c>
      <c r="F221" s="46" t="s">
        <v>82</v>
      </c>
      <c r="G221" s="46" t="s">
        <v>83</v>
      </c>
      <c r="H221" s="46" t="s">
        <v>84</v>
      </c>
      <c r="I221" s="46" t="s">
        <v>82</v>
      </c>
      <c r="J221" s="46" t="s">
        <v>83</v>
      </c>
      <c r="K221" s="46" t="s">
        <v>84</v>
      </c>
      <c r="L221" s="281"/>
      <c r="M221" s="289"/>
    </row>
    <row r="222" spans="1:13" ht="13.15" x14ac:dyDescent="0.25">
      <c r="A222" s="47" t="s">
        <v>19</v>
      </c>
      <c r="B222" s="47" t="s">
        <v>20</v>
      </c>
      <c r="C222" s="47" t="s">
        <v>21</v>
      </c>
      <c r="D222" s="47" t="s">
        <v>22</v>
      </c>
      <c r="E222" s="47" t="s">
        <v>23</v>
      </c>
      <c r="F222" s="47" t="s">
        <v>24</v>
      </c>
      <c r="G222" s="47" t="s">
        <v>25</v>
      </c>
      <c r="H222" s="47" t="s">
        <v>26</v>
      </c>
      <c r="I222" s="47" t="s">
        <v>27</v>
      </c>
      <c r="J222" s="47" t="s">
        <v>28</v>
      </c>
      <c r="K222" s="47" t="s">
        <v>29</v>
      </c>
      <c r="L222" s="184">
        <v>12</v>
      </c>
      <c r="M222" s="104"/>
    </row>
    <row r="223" spans="1:13" ht="15.05" customHeight="1" x14ac:dyDescent="0.2">
      <c r="A223" s="15" t="s">
        <v>522</v>
      </c>
      <c r="B223" s="47" t="s">
        <v>31</v>
      </c>
      <c r="C223" s="47">
        <v>1</v>
      </c>
      <c r="D223" s="47">
        <f>C223</f>
        <v>1</v>
      </c>
      <c r="E223" s="47">
        <f>C223</f>
        <v>1</v>
      </c>
      <c r="F223" s="65">
        <v>1280538</v>
      </c>
      <c r="G223" s="45">
        <f>F223</f>
        <v>1280538</v>
      </c>
      <c r="H223" s="45">
        <f>F223</f>
        <v>1280538</v>
      </c>
      <c r="I223" s="45">
        <f>F223</f>
        <v>1280538</v>
      </c>
      <c r="J223" s="45">
        <f>I223</f>
        <v>1280538</v>
      </c>
      <c r="K223" s="45">
        <f>I223</f>
        <v>1280538</v>
      </c>
      <c r="L223" s="65">
        <v>867806.11</v>
      </c>
      <c r="M223" s="105"/>
    </row>
    <row r="224" spans="1:13" ht="15.05" customHeight="1" x14ac:dyDescent="0.2">
      <c r="A224" s="15" t="s">
        <v>695</v>
      </c>
      <c r="B224" s="227" t="s">
        <v>33</v>
      </c>
      <c r="C224" s="227">
        <v>0</v>
      </c>
      <c r="D224" s="227">
        <v>0</v>
      </c>
      <c r="E224" s="227">
        <v>0</v>
      </c>
      <c r="F224" s="65">
        <v>0</v>
      </c>
      <c r="G224" s="226">
        <v>0</v>
      </c>
      <c r="H224" s="226">
        <v>0</v>
      </c>
      <c r="I224" s="226">
        <v>0</v>
      </c>
      <c r="J224" s="226">
        <v>0</v>
      </c>
      <c r="K224" s="226">
        <v>0</v>
      </c>
      <c r="L224" s="65">
        <v>64000</v>
      </c>
      <c r="M224" s="105"/>
    </row>
    <row r="225" spans="1:13" ht="54.5" customHeight="1" x14ac:dyDescent="0.2">
      <c r="A225" s="15" t="s">
        <v>709</v>
      </c>
      <c r="B225" s="235"/>
      <c r="C225" s="235"/>
      <c r="D225" s="235"/>
      <c r="E225" s="235"/>
      <c r="F225" s="65"/>
      <c r="G225" s="234"/>
      <c r="H225" s="234"/>
      <c r="I225" s="234">
        <f>47000+128500+53000+167000</f>
        <v>395500</v>
      </c>
      <c r="J225" s="234"/>
      <c r="K225" s="234"/>
      <c r="L225" s="65"/>
      <c r="M225" s="105"/>
    </row>
    <row r="226" spans="1:13" ht="13.15" x14ac:dyDescent="0.2">
      <c r="A226" s="47" t="s">
        <v>121</v>
      </c>
      <c r="B226" s="67" t="s">
        <v>587</v>
      </c>
      <c r="C226" s="47" t="s">
        <v>1</v>
      </c>
      <c r="D226" s="47" t="s">
        <v>1</v>
      </c>
      <c r="E226" s="47" t="s">
        <v>1</v>
      </c>
      <c r="F226" s="47" t="s">
        <v>1</v>
      </c>
      <c r="G226" s="47" t="s">
        <v>1</v>
      </c>
      <c r="H226" s="47" t="s">
        <v>1</v>
      </c>
      <c r="I226" s="55">
        <f>SUM(I223:I225)</f>
        <v>1676038</v>
      </c>
      <c r="J226" s="55">
        <f>SUM(J223:J223)</f>
        <v>1280538</v>
      </c>
      <c r="K226" s="55">
        <f>SUM(K223:K223)</f>
        <v>1280538</v>
      </c>
      <c r="L226" s="80">
        <f>SUM(L223:L224)</f>
        <v>931806.11</v>
      </c>
      <c r="M226" s="86"/>
    </row>
    <row r="227" spans="1:13" ht="13.15" x14ac:dyDescent="0.2">
      <c r="A227" s="77"/>
      <c r="B227" s="77"/>
      <c r="C227" s="77"/>
      <c r="D227" s="77"/>
      <c r="E227" s="77"/>
      <c r="F227" s="77"/>
      <c r="G227" s="77"/>
      <c r="H227" s="77"/>
      <c r="I227" s="79"/>
      <c r="J227" s="79"/>
      <c r="K227" s="79"/>
      <c r="L227" s="86"/>
      <c r="M227" s="86"/>
    </row>
    <row r="228" spans="1:13" ht="12.7" customHeight="1" x14ac:dyDescent="0.25">
      <c r="A228" s="39" t="s">
        <v>525</v>
      </c>
      <c r="B228" s="23"/>
      <c r="C228" s="23"/>
      <c r="D228" s="23"/>
      <c r="E228" s="23"/>
      <c r="F228" s="23"/>
      <c r="G228" s="23"/>
      <c r="H228" s="23"/>
      <c r="I228" s="107"/>
      <c r="J228" s="23"/>
      <c r="K228" s="23"/>
    </row>
    <row r="229" spans="1:13" ht="12.7" hidden="1" customHeight="1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</row>
    <row r="230" spans="1:13" ht="14.25" customHeight="1" x14ac:dyDescent="0.2">
      <c r="A230" s="286" t="s">
        <v>199</v>
      </c>
      <c r="B230" s="267" t="s">
        <v>11</v>
      </c>
      <c r="C230" s="261" t="s">
        <v>513</v>
      </c>
      <c r="D230" s="261"/>
      <c r="E230" s="261"/>
      <c r="F230" s="261" t="s">
        <v>512</v>
      </c>
      <c r="G230" s="261"/>
      <c r="H230" s="261"/>
      <c r="I230" s="261" t="s">
        <v>81</v>
      </c>
      <c r="J230" s="261"/>
      <c r="K230" s="261"/>
    </row>
    <row r="231" spans="1:13" ht="17.25" customHeight="1" x14ac:dyDescent="0.2">
      <c r="A231" s="287"/>
      <c r="B231" s="268"/>
      <c r="C231" s="142" t="s">
        <v>9</v>
      </c>
      <c r="D231" s="142" t="s">
        <v>571</v>
      </c>
      <c r="E231" s="142" t="s">
        <v>630</v>
      </c>
      <c r="F231" s="142" t="s">
        <v>9</v>
      </c>
      <c r="G231" s="142" t="s">
        <v>571</v>
      </c>
      <c r="H231" s="142" t="s">
        <v>630</v>
      </c>
      <c r="I231" s="142" t="s">
        <v>9</v>
      </c>
      <c r="J231" s="142" t="s">
        <v>571</v>
      </c>
      <c r="K231" s="142" t="s">
        <v>630</v>
      </c>
    </row>
    <row r="232" spans="1:13" ht="51.05" customHeight="1" x14ac:dyDescent="0.2">
      <c r="A232" s="288"/>
      <c r="B232" s="269"/>
      <c r="C232" s="141" t="s">
        <v>82</v>
      </c>
      <c r="D232" s="141" t="s">
        <v>83</v>
      </c>
      <c r="E232" s="141" t="s">
        <v>84</v>
      </c>
      <c r="F232" s="141" t="s">
        <v>82</v>
      </c>
      <c r="G232" s="141" t="s">
        <v>83</v>
      </c>
      <c r="H232" s="141" t="s">
        <v>84</v>
      </c>
      <c r="I232" s="141" t="s">
        <v>82</v>
      </c>
      <c r="J232" s="141" t="s">
        <v>83</v>
      </c>
      <c r="K232" s="141" t="s">
        <v>84</v>
      </c>
    </row>
    <row r="233" spans="1:13" ht="12.7" customHeight="1" x14ac:dyDescent="0.2">
      <c r="A233" s="142" t="s">
        <v>19</v>
      </c>
      <c r="B233" s="142" t="s">
        <v>20</v>
      </c>
      <c r="C233" s="142" t="s">
        <v>21</v>
      </c>
      <c r="D233" s="142" t="s">
        <v>22</v>
      </c>
      <c r="E233" s="142" t="s">
        <v>23</v>
      </c>
      <c r="F233" s="142" t="s">
        <v>24</v>
      </c>
      <c r="G233" s="142" t="s">
        <v>25</v>
      </c>
      <c r="H233" s="142" t="s">
        <v>26</v>
      </c>
      <c r="I233" s="142" t="s">
        <v>27</v>
      </c>
      <c r="J233" s="142" t="s">
        <v>28</v>
      </c>
      <c r="K233" s="142" t="s">
        <v>29</v>
      </c>
    </row>
    <row r="234" spans="1:13" ht="41.95" customHeight="1" x14ac:dyDescent="0.2">
      <c r="A234" s="15" t="s">
        <v>703</v>
      </c>
      <c r="B234" s="142" t="s">
        <v>31</v>
      </c>
      <c r="C234" s="75"/>
      <c r="D234" s="75"/>
      <c r="E234" s="75"/>
      <c r="F234" s="139"/>
      <c r="G234" s="139"/>
      <c r="H234" s="139"/>
      <c r="I234" s="139">
        <f>5000+20000</f>
        <v>25000</v>
      </c>
      <c r="J234" s="139"/>
      <c r="K234" s="139"/>
    </row>
    <row r="235" spans="1:13" ht="14.25" customHeight="1" x14ac:dyDescent="0.2">
      <c r="A235" s="142" t="s">
        <v>121</v>
      </c>
      <c r="B235" s="67" t="s">
        <v>588</v>
      </c>
      <c r="C235" s="142" t="s">
        <v>1</v>
      </c>
      <c r="D235" s="142" t="s">
        <v>1</v>
      </c>
      <c r="E235" s="142" t="s">
        <v>1</v>
      </c>
      <c r="F235" s="142" t="s">
        <v>1</v>
      </c>
      <c r="G235" s="142" t="s">
        <v>1</v>
      </c>
      <c r="H235" s="142" t="s">
        <v>1</v>
      </c>
      <c r="I235" s="140">
        <f>SUM(I234)</f>
        <v>25000</v>
      </c>
      <c r="J235" s="140">
        <f t="shared" ref="J235:K235" si="48">SUM(J234)</f>
        <v>0</v>
      </c>
      <c r="K235" s="140">
        <f t="shared" si="48"/>
        <v>0</v>
      </c>
    </row>
    <row r="236" spans="1:13" ht="7.55" customHeight="1" x14ac:dyDescent="0.2">
      <c r="I236" s="108"/>
    </row>
    <row r="237" spans="1:13" ht="10.050000000000001" customHeight="1" x14ac:dyDescent="0.2">
      <c r="A237" t="s">
        <v>704</v>
      </c>
      <c r="I237" s="108">
        <f>I225+I234+I196</f>
        <v>430500</v>
      </c>
    </row>
    <row r="239" spans="1:13" x14ac:dyDescent="0.2">
      <c r="I239">
        <f>J181</f>
        <v>0</v>
      </c>
    </row>
  </sheetData>
  <mergeCells count="110">
    <mergeCell ref="L163:L165"/>
    <mergeCell ref="A95:A97"/>
    <mergeCell ref="B95:B97"/>
    <mergeCell ref="C95:E95"/>
    <mergeCell ref="F95:H95"/>
    <mergeCell ref="I95:K95"/>
    <mergeCell ref="L86:N86"/>
    <mergeCell ref="A62:A64"/>
    <mergeCell ref="A120:A122"/>
    <mergeCell ref="B120:B122"/>
    <mergeCell ref="C120:E120"/>
    <mergeCell ref="F120:H120"/>
    <mergeCell ref="I120:K120"/>
    <mergeCell ref="F62:H62"/>
    <mergeCell ref="I62:K62"/>
    <mergeCell ref="A86:A88"/>
    <mergeCell ref="B86:B88"/>
    <mergeCell ref="C86:E86"/>
    <mergeCell ref="F86:H86"/>
    <mergeCell ref="L74:L76"/>
    <mergeCell ref="A74:A76"/>
    <mergeCell ref="B74:B76"/>
    <mergeCell ref="C74:E74"/>
    <mergeCell ref="F74:H74"/>
    <mergeCell ref="I74:K74"/>
    <mergeCell ref="A127:N127"/>
    <mergeCell ref="A138:A140"/>
    <mergeCell ref="B138:B140"/>
    <mergeCell ref="C138:E138"/>
    <mergeCell ref="F138:H138"/>
    <mergeCell ref="I138:K138"/>
    <mergeCell ref="A129:A131"/>
    <mergeCell ref="B129:B131"/>
    <mergeCell ref="C129:E129"/>
    <mergeCell ref="F129:H129"/>
    <mergeCell ref="I129:K129"/>
    <mergeCell ref="L95:L97"/>
    <mergeCell ref="L138:L140"/>
    <mergeCell ref="A51:A53"/>
    <mergeCell ref="B51:B53"/>
    <mergeCell ref="C51:E51"/>
    <mergeCell ref="F51:H51"/>
    <mergeCell ref="I51:K51"/>
    <mergeCell ref="I86:K86"/>
    <mergeCell ref="A2:N2"/>
    <mergeCell ref="A4:N4"/>
    <mergeCell ref="L38:N38"/>
    <mergeCell ref="A6:A8"/>
    <mergeCell ref="B6:B8"/>
    <mergeCell ref="C6:E6"/>
    <mergeCell ref="B13:B14"/>
    <mergeCell ref="C13:C14"/>
    <mergeCell ref="D13:D14"/>
    <mergeCell ref="E13:E14"/>
    <mergeCell ref="A38:A40"/>
    <mergeCell ref="B38:B40"/>
    <mergeCell ref="C38:E38"/>
    <mergeCell ref="F38:H38"/>
    <mergeCell ref="I38:K38"/>
    <mergeCell ref="L62:L64"/>
    <mergeCell ref="B62:B64"/>
    <mergeCell ref="C62:E62"/>
    <mergeCell ref="B201:B203"/>
    <mergeCell ref="C201:E201"/>
    <mergeCell ref="F201:H201"/>
    <mergeCell ref="I201:K201"/>
    <mergeCell ref="A154:A156"/>
    <mergeCell ref="B154:B156"/>
    <mergeCell ref="C154:E154"/>
    <mergeCell ref="F154:H154"/>
    <mergeCell ref="I154:K154"/>
    <mergeCell ref="A183:A185"/>
    <mergeCell ref="B183:B185"/>
    <mergeCell ref="C183:E183"/>
    <mergeCell ref="F183:H183"/>
    <mergeCell ref="I183:K183"/>
    <mergeCell ref="A163:A165"/>
    <mergeCell ref="B163:B165"/>
    <mergeCell ref="C163:E163"/>
    <mergeCell ref="F163:H163"/>
    <mergeCell ref="I163:K163"/>
    <mergeCell ref="A174:A176"/>
    <mergeCell ref="B174:B176"/>
    <mergeCell ref="C174:E174"/>
    <mergeCell ref="F174:H174"/>
    <mergeCell ref="I174:K174"/>
    <mergeCell ref="O38:O40"/>
    <mergeCell ref="A210:A212"/>
    <mergeCell ref="B210:B212"/>
    <mergeCell ref="C210:E210"/>
    <mergeCell ref="F210:H210"/>
    <mergeCell ref="I210:K210"/>
    <mergeCell ref="L219:L221"/>
    <mergeCell ref="M219:M221"/>
    <mergeCell ref="A230:A232"/>
    <mergeCell ref="B230:B232"/>
    <mergeCell ref="C230:E230"/>
    <mergeCell ref="F230:H230"/>
    <mergeCell ref="I230:K230"/>
    <mergeCell ref="A219:A221"/>
    <mergeCell ref="B219:B221"/>
    <mergeCell ref="C219:E219"/>
    <mergeCell ref="F219:H219"/>
    <mergeCell ref="I219:K219"/>
    <mergeCell ref="A192:A194"/>
    <mergeCell ref="B192:B194"/>
    <mergeCell ref="C192:E192"/>
    <mergeCell ref="F192:H192"/>
    <mergeCell ref="I192:K192"/>
    <mergeCell ref="A201:A203"/>
  </mergeCells>
  <phoneticPr fontId="16" type="noConversion"/>
  <pageMargins left="0.39370078740157483" right="0.19685039370078741" top="0.39370078740157483" bottom="0.19685039370078741" header="0.31496062992125984" footer="0.31496062992125984"/>
  <pageSetup paperSize="9" scale="71" orientation="landscape" r:id="rId1"/>
  <rowBreaks count="4" manualBreakCount="4">
    <brk id="30" max="14" man="1"/>
    <brk id="70" max="14" man="1"/>
    <brk id="125" max="14" man="1"/>
    <brk id="170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N191"/>
  <sheetViews>
    <sheetView view="pageBreakPreview" zoomScaleSheetLayoutView="100" workbookViewId="0">
      <selection activeCell="F9" sqref="F9"/>
    </sheetView>
  </sheetViews>
  <sheetFormatPr defaultRowHeight="12.55" x14ac:dyDescent="0.2"/>
  <cols>
    <col min="1" max="1" width="36.44140625" customWidth="1"/>
    <col min="2" max="2" width="7.5546875" customWidth="1"/>
    <col min="3" max="3" width="13.44140625" customWidth="1"/>
    <col min="4" max="4" width="12.6640625" customWidth="1"/>
    <col min="5" max="5" width="12" customWidth="1"/>
    <col min="6" max="6" width="11.109375" customWidth="1"/>
    <col min="7" max="7" width="10.44140625" customWidth="1"/>
    <col min="8" max="8" width="10.109375" customWidth="1"/>
    <col min="9" max="9" width="12" customWidth="1"/>
    <col min="10" max="11" width="11.33203125" customWidth="1"/>
    <col min="12" max="12" width="10.5546875" customWidth="1"/>
    <col min="13" max="13" width="11.44140625" customWidth="1"/>
    <col min="14" max="14" width="9.88671875" customWidth="1"/>
  </cols>
  <sheetData>
    <row r="1" spans="1:14" ht="15.85" customHeight="1" x14ac:dyDescent="0.2">
      <c r="A1" s="272" t="s">
        <v>526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3.15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3.15" x14ac:dyDescent="0.2">
      <c r="A3" s="272" t="s">
        <v>471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</row>
    <row r="4" spans="1:14" ht="13.15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5.85" customHeight="1" x14ac:dyDescent="0.25">
      <c r="A5" s="274" t="s">
        <v>10</v>
      </c>
      <c r="B5" s="248" t="s">
        <v>11</v>
      </c>
      <c r="C5" s="290" t="s">
        <v>81</v>
      </c>
      <c r="D5" s="291"/>
      <c r="E5" s="292"/>
      <c r="F5" s="23"/>
      <c r="G5" s="23"/>
      <c r="H5" s="23"/>
      <c r="I5" s="23"/>
      <c r="J5" s="23"/>
      <c r="K5" s="23"/>
      <c r="L5" s="23"/>
      <c r="M5" s="23"/>
      <c r="N5" s="23"/>
    </row>
    <row r="6" spans="1:14" ht="15.85" customHeight="1" x14ac:dyDescent="0.25">
      <c r="A6" s="274"/>
      <c r="B6" s="248"/>
      <c r="C6" s="150" t="s">
        <v>9</v>
      </c>
      <c r="D6" s="150" t="s">
        <v>571</v>
      </c>
      <c r="E6" s="150" t="s">
        <v>630</v>
      </c>
      <c r="F6" s="23"/>
      <c r="G6" s="23"/>
      <c r="H6" s="23"/>
      <c r="I6" s="23"/>
      <c r="J6" s="23"/>
      <c r="K6" s="23"/>
      <c r="L6" s="23"/>
      <c r="M6" s="23"/>
      <c r="N6" s="23"/>
    </row>
    <row r="7" spans="1:14" ht="40.549999999999997" customHeight="1" x14ac:dyDescent="0.25">
      <c r="A7" s="274"/>
      <c r="B7" s="248"/>
      <c r="C7" s="46" t="s">
        <v>82</v>
      </c>
      <c r="D7" s="46" t="s">
        <v>83</v>
      </c>
      <c r="E7" s="46" t="s">
        <v>84</v>
      </c>
      <c r="F7" s="23"/>
      <c r="G7" s="23"/>
      <c r="H7" s="23"/>
      <c r="I7" s="23"/>
      <c r="J7" s="23"/>
      <c r="K7" s="23"/>
      <c r="L7" s="23"/>
      <c r="M7" s="23"/>
      <c r="N7" s="23"/>
    </row>
    <row r="8" spans="1:14" ht="13.15" x14ac:dyDescent="0.25">
      <c r="A8" s="47" t="s">
        <v>19</v>
      </c>
      <c r="B8" s="47" t="s">
        <v>20</v>
      </c>
      <c r="C8" s="47" t="s">
        <v>21</v>
      </c>
      <c r="D8" s="47" t="s">
        <v>22</v>
      </c>
      <c r="E8" s="47" t="s">
        <v>23</v>
      </c>
      <c r="F8" s="23"/>
      <c r="G8" s="23"/>
      <c r="H8" s="23"/>
      <c r="I8" s="23"/>
      <c r="J8" s="23"/>
      <c r="K8" s="23"/>
      <c r="L8" s="23"/>
      <c r="M8" s="23"/>
      <c r="N8" s="23"/>
    </row>
    <row r="9" spans="1:14" ht="65.75" x14ac:dyDescent="0.25">
      <c r="A9" s="15" t="s">
        <v>215</v>
      </c>
      <c r="B9" s="95" t="s">
        <v>86</v>
      </c>
      <c r="C9" s="45">
        <v>0</v>
      </c>
      <c r="D9" s="45">
        <v>0</v>
      </c>
      <c r="E9" s="45">
        <v>0</v>
      </c>
      <c r="F9" s="23"/>
      <c r="G9" s="23"/>
      <c r="H9" s="23"/>
      <c r="I9" s="23"/>
      <c r="J9" s="23"/>
      <c r="K9" s="23"/>
      <c r="L9" s="23"/>
      <c r="M9" s="23"/>
      <c r="N9" s="23"/>
    </row>
    <row r="10" spans="1:14" ht="43.55" customHeight="1" x14ac:dyDescent="0.25">
      <c r="A10" s="15" t="s">
        <v>216</v>
      </c>
      <c r="B10" s="95" t="s">
        <v>88</v>
      </c>
      <c r="C10" s="45">
        <v>0</v>
      </c>
      <c r="D10" s="45">
        <v>0</v>
      </c>
      <c r="E10" s="45">
        <v>0</v>
      </c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26.3" x14ac:dyDescent="0.25">
      <c r="A11" s="15" t="s">
        <v>217</v>
      </c>
      <c r="B11" s="95" t="s">
        <v>90</v>
      </c>
      <c r="C11" s="45">
        <f>SUM(C12:C22)</f>
        <v>4378886.2170000002</v>
      </c>
      <c r="D11" s="45">
        <f t="shared" ref="D11:E11" si="0">SUM(D12:D22)</f>
        <v>3757551.997</v>
      </c>
      <c r="E11" s="45">
        <f t="shared" si="0"/>
        <v>3757551.997</v>
      </c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13.15" x14ac:dyDescent="0.25">
      <c r="A12" s="51" t="s">
        <v>57</v>
      </c>
      <c r="B12" s="293" t="s">
        <v>218</v>
      </c>
      <c r="C12" s="244">
        <f>L42</f>
        <v>24600</v>
      </c>
      <c r="D12" s="244">
        <f>M42</f>
        <v>24600</v>
      </c>
      <c r="E12" s="244">
        <f>N42</f>
        <v>24600</v>
      </c>
      <c r="F12" s="23"/>
      <c r="G12" s="23"/>
      <c r="H12" s="23"/>
      <c r="I12" s="23"/>
      <c r="J12" s="23"/>
      <c r="K12" s="23"/>
      <c r="L12" s="23"/>
      <c r="M12" s="23"/>
      <c r="N12" s="23"/>
    </row>
    <row r="13" spans="1:14" ht="15.05" customHeight="1" x14ac:dyDescent="0.25">
      <c r="A13" s="51" t="s">
        <v>472</v>
      </c>
      <c r="B13" s="294"/>
      <c r="C13" s="244"/>
      <c r="D13" s="244"/>
      <c r="E13" s="244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5.85" customHeight="1" x14ac:dyDescent="0.25">
      <c r="A14" s="51" t="s">
        <v>473</v>
      </c>
      <c r="B14" s="95" t="s">
        <v>219</v>
      </c>
      <c r="C14" s="45">
        <f>I51+L51</f>
        <v>87500</v>
      </c>
      <c r="D14" s="45">
        <f>J51</f>
        <v>87500</v>
      </c>
      <c r="E14" s="45">
        <f>K51</f>
        <v>87500</v>
      </c>
      <c r="F14" s="23"/>
      <c r="G14" s="23"/>
      <c r="H14" s="23"/>
      <c r="I14" s="23"/>
      <c r="J14" s="23"/>
      <c r="K14" s="23"/>
      <c r="L14" s="23"/>
      <c r="M14" s="23"/>
      <c r="N14" s="23"/>
    </row>
    <row r="15" spans="1:14" ht="17.25" customHeight="1" x14ac:dyDescent="0.25">
      <c r="A15" s="51" t="s">
        <v>574</v>
      </c>
      <c r="B15" s="95" t="s">
        <v>220</v>
      </c>
      <c r="C15" s="45">
        <f>I60+L60</f>
        <v>1817429.997</v>
      </c>
      <c r="D15" s="45">
        <f>J60</f>
        <v>1817429.997</v>
      </c>
      <c r="E15" s="45">
        <f>K60</f>
        <v>1817429.997</v>
      </c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5.85" customHeight="1" x14ac:dyDescent="0.25">
      <c r="A16" s="51" t="s">
        <v>475</v>
      </c>
      <c r="B16" s="95" t="s">
        <v>221</v>
      </c>
      <c r="C16" s="45">
        <f>L69</f>
        <v>0</v>
      </c>
      <c r="D16" s="45">
        <f>M69</f>
        <v>0</v>
      </c>
      <c r="E16" s="45">
        <f>N69</f>
        <v>0</v>
      </c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14.25" customHeight="1" x14ac:dyDescent="0.25">
      <c r="A17" s="51" t="s">
        <v>476</v>
      </c>
      <c r="B17" s="95" t="s">
        <v>222</v>
      </c>
      <c r="C17" s="45">
        <f>I79</f>
        <v>39600</v>
      </c>
      <c r="D17" s="45">
        <f>J79</f>
        <v>33600</v>
      </c>
      <c r="E17" s="45">
        <f>K79</f>
        <v>33600</v>
      </c>
      <c r="F17" s="23"/>
      <c r="G17" s="23"/>
      <c r="H17" s="23"/>
      <c r="I17" s="23"/>
      <c r="J17" s="23"/>
      <c r="K17" s="23"/>
      <c r="L17" s="23"/>
      <c r="M17" s="23"/>
      <c r="N17" s="23"/>
    </row>
    <row r="18" spans="1:14" ht="15.85" customHeight="1" x14ac:dyDescent="0.25">
      <c r="A18" s="51" t="s">
        <v>477</v>
      </c>
      <c r="B18" s="95" t="s">
        <v>223</v>
      </c>
      <c r="C18" s="45">
        <f>I88</f>
        <v>0</v>
      </c>
      <c r="D18" s="45">
        <f>J88</f>
        <v>0</v>
      </c>
      <c r="E18" s="45">
        <f>K88</f>
        <v>0</v>
      </c>
      <c r="F18" s="23"/>
      <c r="G18" s="23"/>
      <c r="H18" s="23"/>
      <c r="I18" s="23"/>
      <c r="J18" s="23"/>
      <c r="K18" s="23"/>
      <c r="L18" s="23"/>
      <c r="M18" s="23"/>
      <c r="N18" s="23"/>
    </row>
    <row r="19" spans="1:14" ht="28.5" customHeight="1" x14ac:dyDescent="0.25">
      <c r="A19" s="15" t="s">
        <v>478</v>
      </c>
      <c r="B19" s="95" t="s">
        <v>224</v>
      </c>
      <c r="C19" s="45">
        <f>I97</f>
        <v>0</v>
      </c>
      <c r="D19" s="45">
        <f>J97</f>
        <v>0</v>
      </c>
      <c r="E19" s="45">
        <f>K97</f>
        <v>0</v>
      </c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77.95" customHeight="1" x14ac:dyDescent="0.25">
      <c r="A20" s="15" t="s">
        <v>479</v>
      </c>
      <c r="B20" s="95" t="s">
        <v>225</v>
      </c>
      <c r="C20" s="45">
        <f>I114+L114</f>
        <v>662294.22</v>
      </c>
      <c r="D20" s="45">
        <f>J114</f>
        <v>540960</v>
      </c>
      <c r="E20" s="45">
        <f>K114</f>
        <v>540960</v>
      </c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27.7" customHeight="1" x14ac:dyDescent="0.25">
      <c r="A21" s="15" t="s">
        <v>480</v>
      </c>
      <c r="B21" s="95" t="s">
        <v>226</v>
      </c>
      <c r="C21" s="45">
        <f>I123+L123</f>
        <v>500000</v>
      </c>
      <c r="D21" s="45">
        <f>J123</f>
        <v>0</v>
      </c>
      <c r="E21" s="45">
        <f>K123</f>
        <v>0</v>
      </c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7.25" customHeight="1" x14ac:dyDescent="0.25">
      <c r="A22" s="15" t="s">
        <v>481</v>
      </c>
      <c r="B22" s="95" t="s">
        <v>91</v>
      </c>
      <c r="C22" s="45">
        <f>SUM(C23:C29)</f>
        <v>1247462</v>
      </c>
      <c r="D22" s="89">
        <f t="shared" ref="D22:E22" si="1">SUM(D23:D29)</f>
        <v>1253462</v>
      </c>
      <c r="E22" s="89">
        <f t="shared" si="1"/>
        <v>1253462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4" ht="41.35" customHeight="1" x14ac:dyDescent="0.25">
      <c r="A23" s="15" t="s">
        <v>548</v>
      </c>
      <c r="B23" s="67" t="s">
        <v>541</v>
      </c>
      <c r="C23" s="89">
        <f>I132</f>
        <v>0</v>
      </c>
      <c r="D23" s="89">
        <f>J132</f>
        <v>0</v>
      </c>
      <c r="E23" s="89">
        <f>K132</f>
        <v>0</v>
      </c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17.25" customHeight="1" x14ac:dyDescent="0.25">
      <c r="A24" s="15" t="s">
        <v>549</v>
      </c>
      <c r="B24" s="67" t="s">
        <v>542</v>
      </c>
      <c r="C24" s="89">
        <f>I141</f>
        <v>0</v>
      </c>
      <c r="D24" s="89">
        <f>J141</f>
        <v>0</v>
      </c>
      <c r="E24" s="89">
        <f>K141</f>
        <v>0</v>
      </c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7.7" customHeight="1" x14ac:dyDescent="0.25">
      <c r="A25" s="15" t="s">
        <v>550</v>
      </c>
      <c r="B25" s="67" t="s">
        <v>543</v>
      </c>
      <c r="C25" s="89">
        <f>I150</f>
        <v>223450</v>
      </c>
      <c r="D25" s="89">
        <f>J150</f>
        <v>223450</v>
      </c>
      <c r="E25" s="89">
        <f>K150</f>
        <v>223450</v>
      </c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28.5" customHeight="1" x14ac:dyDescent="0.25">
      <c r="A26" s="15" t="s">
        <v>551</v>
      </c>
      <c r="B26" s="67" t="s">
        <v>544</v>
      </c>
      <c r="C26" s="89">
        <f>I159</f>
        <v>0</v>
      </c>
      <c r="D26" s="89">
        <f>J159</f>
        <v>0</v>
      </c>
      <c r="E26" s="89">
        <f>K159</f>
        <v>0</v>
      </c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17.25" customHeight="1" x14ac:dyDescent="0.25">
      <c r="A27" s="15" t="s">
        <v>552</v>
      </c>
      <c r="B27" s="67" t="s">
        <v>545</v>
      </c>
      <c r="C27" s="89">
        <f>I168</f>
        <v>56200</v>
      </c>
      <c r="D27" s="89">
        <f>J168</f>
        <v>56200</v>
      </c>
      <c r="E27" s="89">
        <f>K168</f>
        <v>56200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1:14" ht="27.1" customHeight="1" x14ac:dyDescent="0.25">
      <c r="A28" s="15" t="s">
        <v>553</v>
      </c>
      <c r="B28" s="67" t="s">
        <v>546</v>
      </c>
      <c r="C28" s="89">
        <f>I182+L182</f>
        <v>917812</v>
      </c>
      <c r="D28" s="89">
        <f>J182</f>
        <v>923812</v>
      </c>
      <c r="E28" s="89">
        <f>K182</f>
        <v>923812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1:14" ht="27.7" customHeight="1" x14ac:dyDescent="0.25">
      <c r="A29" s="15" t="s">
        <v>554</v>
      </c>
      <c r="B29" s="67" t="s">
        <v>547</v>
      </c>
      <c r="C29" s="89">
        <f>I191</f>
        <v>50000</v>
      </c>
      <c r="D29" s="89">
        <f>J191</f>
        <v>50000</v>
      </c>
      <c r="E29" s="89">
        <f>K191</f>
        <v>50000</v>
      </c>
      <c r="F29" s="23"/>
      <c r="G29" s="23"/>
      <c r="H29" s="23"/>
      <c r="I29" s="23"/>
      <c r="J29" s="23"/>
      <c r="K29" s="23"/>
      <c r="L29" s="23"/>
      <c r="M29" s="23"/>
      <c r="N29" s="23"/>
    </row>
    <row r="30" spans="1:14" ht="66.7" customHeight="1" x14ac:dyDescent="0.25">
      <c r="A30" s="15" t="s">
        <v>227</v>
      </c>
      <c r="B30" s="95" t="s">
        <v>108</v>
      </c>
      <c r="C30" s="45">
        <v>0</v>
      </c>
      <c r="D30" s="45">
        <v>0</v>
      </c>
      <c r="E30" s="45">
        <v>0</v>
      </c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41.35" customHeight="1" x14ac:dyDescent="0.25">
      <c r="A31" s="15" t="s">
        <v>228</v>
      </c>
      <c r="B31" s="95" t="s">
        <v>110</v>
      </c>
      <c r="C31" s="45">
        <v>0</v>
      </c>
      <c r="D31" s="45">
        <v>0</v>
      </c>
      <c r="E31" s="45">
        <v>0</v>
      </c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39.450000000000003" x14ac:dyDescent="0.25">
      <c r="A32" s="15" t="s">
        <v>229</v>
      </c>
      <c r="B32" s="95" t="s">
        <v>112</v>
      </c>
      <c r="C32" s="55">
        <f>C9+C10+C11+C30+C31</f>
        <v>4378886.2170000002</v>
      </c>
      <c r="D32" s="55">
        <f t="shared" ref="D32:E32" si="2">D9+D10+D11+D30+D31</f>
        <v>3757551.997</v>
      </c>
      <c r="E32" s="55">
        <f t="shared" si="2"/>
        <v>3757551.997</v>
      </c>
      <c r="F32" s="23"/>
      <c r="G32" s="23"/>
      <c r="H32" s="23"/>
      <c r="I32" s="23"/>
      <c r="J32" s="23"/>
      <c r="K32" s="23"/>
      <c r="L32" s="23"/>
      <c r="M32" s="23"/>
      <c r="N32" s="23"/>
    </row>
    <row r="33" spans="1:14" ht="13.15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13.15" x14ac:dyDescent="0.25">
      <c r="A34" s="39" t="s">
        <v>555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5" spans="1:14" ht="13.15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4" ht="17.25" customHeight="1" x14ac:dyDescent="0.2">
      <c r="A36" s="286" t="s">
        <v>199</v>
      </c>
      <c r="B36" s="248" t="s">
        <v>11</v>
      </c>
      <c r="C36" s="261" t="s">
        <v>230</v>
      </c>
      <c r="D36" s="261"/>
      <c r="E36" s="261"/>
      <c r="F36" s="261" t="s">
        <v>231</v>
      </c>
      <c r="G36" s="261"/>
      <c r="H36" s="261"/>
      <c r="I36" s="261" t="s">
        <v>232</v>
      </c>
      <c r="J36" s="261"/>
      <c r="K36" s="261"/>
      <c r="L36" s="261" t="s">
        <v>81</v>
      </c>
      <c r="M36" s="261"/>
      <c r="N36" s="261"/>
    </row>
    <row r="37" spans="1:14" ht="15.85" customHeight="1" x14ac:dyDescent="0.2">
      <c r="A37" s="287"/>
      <c r="B37" s="248"/>
      <c r="C37" s="150" t="s">
        <v>9</v>
      </c>
      <c r="D37" s="150" t="s">
        <v>571</v>
      </c>
      <c r="E37" s="150" t="s">
        <v>630</v>
      </c>
      <c r="F37" s="150" t="s">
        <v>9</v>
      </c>
      <c r="G37" s="150" t="s">
        <v>571</v>
      </c>
      <c r="H37" s="150" t="s">
        <v>630</v>
      </c>
      <c r="I37" s="150" t="s">
        <v>9</v>
      </c>
      <c r="J37" s="150" t="s">
        <v>571</v>
      </c>
      <c r="K37" s="150" t="s">
        <v>630</v>
      </c>
      <c r="L37" s="150" t="s">
        <v>9</v>
      </c>
      <c r="M37" s="150" t="s">
        <v>571</v>
      </c>
      <c r="N37" s="150" t="s">
        <v>630</v>
      </c>
    </row>
    <row r="38" spans="1:14" ht="41.95" customHeight="1" x14ac:dyDescent="0.2">
      <c r="A38" s="288"/>
      <c r="B38" s="248"/>
      <c r="C38" s="46" t="s">
        <v>82</v>
      </c>
      <c r="D38" s="46" t="s">
        <v>83</v>
      </c>
      <c r="E38" s="46" t="s">
        <v>84</v>
      </c>
      <c r="F38" s="46" t="s">
        <v>82</v>
      </c>
      <c r="G38" s="46" t="s">
        <v>83</v>
      </c>
      <c r="H38" s="46" t="s">
        <v>84</v>
      </c>
      <c r="I38" s="46" t="s">
        <v>82</v>
      </c>
      <c r="J38" s="46" t="s">
        <v>83</v>
      </c>
      <c r="K38" s="46" t="s">
        <v>84</v>
      </c>
      <c r="L38" s="46" t="s">
        <v>82</v>
      </c>
      <c r="M38" s="46" t="s">
        <v>83</v>
      </c>
      <c r="N38" s="46" t="s">
        <v>84</v>
      </c>
    </row>
    <row r="39" spans="1:14" ht="13.15" x14ac:dyDescent="0.2">
      <c r="A39" s="47" t="s">
        <v>19</v>
      </c>
      <c r="B39" s="47" t="s">
        <v>20</v>
      </c>
      <c r="C39" s="47" t="s">
        <v>21</v>
      </c>
      <c r="D39" s="47" t="s">
        <v>22</v>
      </c>
      <c r="E39" s="47" t="s">
        <v>23</v>
      </c>
      <c r="F39" s="47" t="s">
        <v>24</v>
      </c>
      <c r="G39" s="47" t="s">
        <v>25</v>
      </c>
      <c r="H39" s="47" t="s">
        <v>26</v>
      </c>
      <c r="I39" s="47" t="s">
        <v>27</v>
      </c>
      <c r="J39" s="47" t="s">
        <v>28</v>
      </c>
      <c r="K39" s="47" t="s">
        <v>29</v>
      </c>
      <c r="L39" s="47" t="s">
        <v>172</v>
      </c>
      <c r="M39" s="47" t="s">
        <v>203</v>
      </c>
      <c r="N39" s="47" t="s">
        <v>204</v>
      </c>
    </row>
    <row r="40" spans="1:14" s="72" customFormat="1" ht="13.5" customHeight="1" x14ac:dyDescent="0.2">
      <c r="A40" s="73" t="s">
        <v>527</v>
      </c>
      <c r="B40" s="71" t="s">
        <v>31</v>
      </c>
      <c r="C40" s="74">
        <v>0</v>
      </c>
      <c r="D40" s="74">
        <f>C40</f>
        <v>0</v>
      </c>
      <c r="E40" s="74">
        <f>C40</f>
        <v>0</v>
      </c>
      <c r="F40" s="74">
        <v>12</v>
      </c>
      <c r="G40" s="74">
        <f>F40</f>
        <v>12</v>
      </c>
      <c r="H40" s="74">
        <f>F40</f>
        <v>12</v>
      </c>
      <c r="I40" s="76">
        <v>300</v>
      </c>
      <c r="J40" s="76">
        <f>I40</f>
        <v>300</v>
      </c>
      <c r="K40" s="76">
        <f>I40</f>
        <v>300</v>
      </c>
      <c r="L40" s="76">
        <f>F40*I40</f>
        <v>3600</v>
      </c>
      <c r="M40" s="76">
        <f>L40</f>
        <v>3600</v>
      </c>
      <c r="N40" s="76">
        <f>L40</f>
        <v>3600</v>
      </c>
    </row>
    <row r="41" spans="1:14" s="72" customFormat="1" ht="15.05" customHeight="1" x14ac:dyDescent="0.2">
      <c r="A41" s="73" t="s">
        <v>572</v>
      </c>
      <c r="B41" s="47" t="s">
        <v>33</v>
      </c>
      <c r="C41" s="74">
        <v>0</v>
      </c>
      <c r="D41" s="74">
        <f t="shared" ref="D41" si="3">C41</f>
        <v>0</v>
      </c>
      <c r="E41" s="74">
        <f t="shared" ref="E41" si="4">C41</f>
        <v>0</v>
      </c>
      <c r="F41" s="74">
        <v>0</v>
      </c>
      <c r="G41" s="74">
        <f t="shared" ref="G41" si="5">F41</f>
        <v>0</v>
      </c>
      <c r="H41" s="74">
        <f t="shared" ref="H41" si="6">F41</f>
        <v>0</v>
      </c>
      <c r="I41" s="76">
        <v>21000</v>
      </c>
      <c r="J41" s="76">
        <f t="shared" ref="J41" si="7">I41</f>
        <v>21000</v>
      </c>
      <c r="K41" s="76">
        <f t="shared" ref="K41" si="8">I41</f>
        <v>21000</v>
      </c>
      <c r="L41" s="76">
        <f>I41</f>
        <v>21000</v>
      </c>
      <c r="M41" s="76">
        <f t="shared" ref="M41" si="9">L41</f>
        <v>21000</v>
      </c>
      <c r="N41" s="76">
        <f t="shared" ref="N41" si="10">L41</f>
        <v>21000</v>
      </c>
    </row>
    <row r="42" spans="1:14" ht="13.15" x14ac:dyDescent="0.2">
      <c r="A42" s="47" t="s">
        <v>121</v>
      </c>
      <c r="B42" s="67" t="s">
        <v>218</v>
      </c>
      <c r="C42" s="47" t="s">
        <v>1</v>
      </c>
      <c r="D42" s="47" t="s">
        <v>1</v>
      </c>
      <c r="E42" s="47" t="s">
        <v>1</v>
      </c>
      <c r="F42" s="47" t="s">
        <v>1</v>
      </c>
      <c r="G42" s="47" t="s">
        <v>1</v>
      </c>
      <c r="H42" s="47" t="s">
        <v>1</v>
      </c>
      <c r="I42" s="47" t="s">
        <v>1</v>
      </c>
      <c r="J42" s="47" t="s">
        <v>1</v>
      </c>
      <c r="K42" s="47" t="s">
        <v>1</v>
      </c>
      <c r="L42" s="55">
        <f>SUM(L40:L41)</f>
        <v>24600</v>
      </c>
      <c r="M42" s="55">
        <f>SUM(M40:M41)</f>
        <v>24600</v>
      </c>
      <c r="N42" s="55">
        <f>SUM(N40:N41)</f>
        <v>24600</v>
      </c>
    </row>
    <row r="43" spans="1:14" ht="13.15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ht="13.15" x14ac:dyDescent="0.25">
      <c r="A44" s="39" t="s">
        <v>556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ht="13.15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ht="15.05" customHeight="1" x14ac:dyDescent="0.25">
      <c r="A46" s="286" t="s">
        <v>199</v>
      </c>
      <c r="B46" s="248" t="s">
        <v>233</v>
      </c>
      <c r="C46" s="261" t="s">
        <v>234</v>
      </c>
      <c r="D46" s="261"/>
      <c r="E46" s="261"/>
      <c r="F46" s="261" t="s">
        <v>235</v>
      </c>
      <c r="G46" s="261"/>
      <c r="H46" s="261"/>
      <c r="I46" s="261" t="s">
        <v>81</v>
      </c>
      <c r="J46" s="261"/>
      <c r="K46" s="261"/>
      <c r="L46" s="295"/>
      <c r="M46" s="23"/>
      <c r="N46" s="23"/>
    </row>
    <row r="47" spans="1:14" ht="15.05" customHeight="1" x14ac:dyDescent="0.25">
      <c r="A47" s="287"/>
      <c r="B47" s="248"/>
      <c r="C47" s="150" t="s">
        <v>9</v>
      </c>
      <c r="D47" s="150" t="s">
        <v>571</v>
      </c>
      <c r="E47" s="150" t="s">
        <v>630</v>
      </c>
      <c r="F47" s="150" t="s">
        <v>9</v>
      </c>
      <c r="G47" s="150" t="s">
        <v>571</v>
      </c>
      <c r="H47" s="150" t="s">
        <v>630</v>
      </c>
      <c r="I47" s="150" t="s">
        <v>9</v>
      </c>
      <c r="J47" s="150" t="s">
        <v>571</v>
      </c>
      <c r="K47" s="150" t="s">
        <v>630</v>
      </c>
      <c r="L47" s="295"/>
      <c r="M47" s="23"/>
      <c r="N47" s="23"/>
    </row>
    <row r="48" spans="1:14" ht="40.549999999999997" customHeight="1" x14ac:dyDescent="0.25">
      <c r="A48" s="288"/>
      <c r="B48" s="248"/>
      <c r="C48" s="46" t="s">
        <v>82</v>
      </c>
      <c r="D48" s="46" t="s">
        <v>83</v>
      </c>
      <c r="E48" s="46" t="s">
        <v>84</v>
      </c>
      <c r="F48" s="46" t="s">
        <v>82</v>
      </c>
      <c r="G48" s="46" t="s">
        <v>83</v>
      </c>
      <c r="H48" s="46" t="s">
        <v>84</v>
      </c>
      <c r="I48" s="46" t="s">
        <v>82</v>
      </c>
      <c r="J48" s="46" t="s">
        <v>83</v>
      </c>
      <c r="K48" s="46" t="s">
        <v>84</v>
      </c>
      <c r="L48" s="295"/>
      <c r="M48" s="23"/>
      <c r="N48" s="23"/>
    </row>
    <row r="49" spans="1:14" ht="13.15" x14ac:dyDescent="0.25">
      <c r="A49" s="47" t="s">
        <v>19</v>
      </c>
      <c r="B49" s="47" t="s">
        <v>20</v>
      </c>
      <c r="C49" s="47" t="s">
        <v>21</v>
      </c>
      <c r="D49" s="47" t="s">
        <v>22</v>
      </c>
      <c r="E49" s="47" t="s">
        <v>23</v>
      </c>
      <c r="F49" s="47" t="s">
        <v>24</v>
      </c>
      <c r="G49" s="47" t="s">
        <v>25</v>
      </c>
      <c r="H49" s="47" t="s">
        <v>26</v>
      </c>
      <c r="I49" s="47" t="s">
        <v>27</v>
      </c>
      <c r="J49" s="47" t="s">
        <v>28</v>
      </c>
      <c r="K49" s="47" t="s">
        <v>29</v>
      </c>
      <c r="L49" s="146"/>
      <c r="M49" s="23"/>
      <c r="N49" s="23"/>
    </row>
    <row r="50" spans="1:14" ht="27.1" customHeight="1" x14ac:dyDescent="0.25">
      <c r="A50" s="15" t="s">
        <v>621</v>
      </c>
      <c r="B50" s="67" t="s">
        <v>31</v>
      </c>
      <c r="C50" s="47">
        <v>125</v>
      </c>
      <c r="D50" s="47">
        <f t="shared" ref="D50" si="11">C50</f>
        <v>125</v>
      </c>
      <c r="E50" s="47">
        <f t="shared" ref="E50" si="12">C50</f>
        <v>125</v>
      </c>
      <c r="F50" s="45">
        <v>700</v>
      </c>
      <c r="G50" s="45">
        <f t="shared" ref="G50" si="13">F50</f>
        <v>700</v>
      </c>
      <c r="H50" s="45">
        <f t="shared" ref="H50" si="14">F50</f>
        <v>700</v>
      </c>
      <c r="I50" s="45">
        <f t="shared" ref="I50" si="15">C50*F50</f>
        <v>87500</v>
      </c>
      <c r="J50" s="45">
        <f t="shared" ref="J50" si="16">I50</f>
        <v>87500</v>
      </c>
      <c r="K50" s="45">
        <f t="shared" ref="K50" si="17">I50</f>
        <v>87500</v>
      </c>
      <c r="L50" s="109"/>
      <c r="M50" s="23"/>
      <c r="N50" s="23"/>
    </row>
    <row r="51" spans="1:14" ht="13.15" x14ac:dyDescent="0.25">
      <c r="A51" s="47" t="s">
        <v>121</v>
      </c>
      <c r="B51" s="67" t="s">
        <v>219</v>
      </c>
      <c r="C51" s="47" t="s">
        <v>1</v>
      </c>
      <c r="D51" s="47" t="s">
        <v>1</v>
      </c>
      <c r="E51" s="47" t="s">
        <v>1</v>
      </c>
      <c r="F51" s="45" t="s">
        <v>1</v>
      </c>
      <c r="G51" s="45" t="s">
        <v>1</v>
      </c>
      <c r="H51" s="45" t="s">
        <v>1</v>
      </c>
      <c r="I51" s="55">
        <f>SUM(I50:I50)</f>
        <v>87500</v>
      </c>
      <c r="J51" s="55">
        <f>SUM(J50:J50)</f>
        <v>87500</v>
      </c>
      <c r="K51" s="55">
        <f>SUM(K50:K50)</f>
        <v>87500</v>
      </c>
      <c r="L51" s="110"/>
      <c r="M51" s="23"/>
      <c r="N51" s="23"/>
    </row>
    <row r="52" spans="1:14" ht="13.15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</row>
    <row r="53" spans="1:14" ht="13.15" x14ac:dyDescent="0.25">
      <c r="A53" s="39" t="s">
        <v>573</v>
      </c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13.15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</row>
    <row r="55" spans="1:14" ht="15.85" customHeight="1" x14ac:dyDescent="0.25">
      <c r="A55" s="286" t="s">
        <v>199</v>
      </c>
      <c r="B55" s="248" t="s">
        <v>11</v>
      </c>
      <c r="C55" s="248" t="s">
        <v>236</v>
      </c>
      <c r="D55" s="248"/>
      <c r="E55" s="248"/>
      <c r="F55" s="261" t="s">
        <v>237</v>
      </c>
      <c r="G55" s="261"/>
      <c r="H55" s="261"/>
      <c r="I55" s="261" t="s">
        <v>81</v>
      </c>
      <c r="J55" s="261"/>
      <c r="K55" s="261"/>
      <c r="L55" s="295"/>
      <c r="M55" s="23"/>
      <c r="N55" s="23"/>
    </row>
    <row r="56" spans="1:14" ht="16.45" customHeight="1" x14ac:dyDescent="0.25">
      <c r="A56" s="287"/>
      <c r="B56" s="248"/>
      <c r="C56" s="150" t="s">
        <v>9</v>
      </c>
      <c r="D56" s="150" t="s">
        <v>571</v>
      </c>
      <c r="E56" s="150" t="s">
        <v>630</v>
      </c>
      <c r="F56" s="150" t="s">
        <v>9</v>
      </c>
      <c r="G56" s="150" t="s">
        <v>571</v>
      </c>
      <c r="H56" s="150" t="s">
        <v>630</v>
      </c>
      <c r="I56" s="150" t="s">
        <v>9</v>
      </c>
      <c r="J56" s="150" t="s">
        <v>571</v>
      </c>
      <c r="K56" s="150" t="s">
        <v>630</v>
      </c>
      <c r="L56" s="295"/>
      <c r="M56" s="23"/>
      <c r="N56" s="23"/>
    </row>
    <row r="57" spans="1:14" ht="40.549999999999997" customHeight="1" x14ac:dyDescent="0.25">
      <c r="A57" s="288"/>
      <c r="B57" s="248"/>
      <c r="C57" s="46" t="s">
        <v>82</v>
      </c>
      <c r="D57" s="46" t="s">
        <v>83</v>
      </c>
      <c r="E57" s="46" t="s">
        <v>84</v>
      </c>
      <c r="F57" s="46" t="s">
        <v>82</v>
      </c>
      <c r="G57" s="46" t="s">
        <v>83</v>
      </c>
      <c r="H57" s="46" t="s">
        <v>84</v>
      </c>
      <c r="I57" s="46" t="s">
        <v>82</v>
      </c>
      <c r="J57" s="46" t="s">
        <v>83</v>
      </c>
      <c r="K57" s="46" t="s">
        <v>84</v>
      </c>
      <c r="L57" s="295"/>
      <c r="M57" s="23"/>
      <c r="N57" s="23"/>
    </row>
    <row r="58" spans="1:14" ht="13.15" x14ac:dyDescent="0.25">
      <c r="A58" s="47" t="s">
        <v>19</v>
      </c>
      <c r="B58" s="47" t="s">
        <v>20</v>
      </c>
      <c r="C58" s="47" t="s">
        <v>21</v>
      </c>
      <c r="D58" s="47" t="s">
        <v>22</v>
      </c>
      <c r="E58" s="47" t="s">
        <v>23</v>
      </c>
      <c r="F58" s="47" t="s">
        <v>24</v>
      </c>
      <c r="G58" s="47" t="s">
        <v>25</v>
      </c>
      <c r="H58" s="47" t="s">
        <v>26</v>
      </c>
      <c r="I58" s="47" t="s">
        <v>27</v>
      </c>
      <c r="J58" s="47" t="s">
        <v>28</v>
      </c>
      <c r="K58" s="47" t="s">
        <v>29</v>
      </c>
      <c r="L58" s="146"/>
      <c r="M58" s="23"/>
      <c r="N58" s="23"/>
    </row>
    <row r="59" spans="1:14" ht="15.05" customHeight="1" x14ac:dyDescent="0.25">
      <c r="A59" s="15" t="s">
        <v>489</v>
      </c>
      <c r="B59" s="47" t="s">
        <v>31</v>
      </c>
      <c r="C59" s="103">
        <v>580.32399999999996</v>
      </c>
      <c r="D59" s="103">
        <f>C59</f>
        <v>580.32399999999996</v>
      </c>
      <c r="E59" s="103">
        <f>C59</f>
        <v>580.32399999999996</v>
      </c>
      <c r="F59" s="45">
        <v>3131.75</v>
      </c>
      <c r="G59" s="45">
        <f>F59</f>
        <v>3131.75</v>
      </c>
      <c r="H59" s="45">
        <f>F59</f>
        <v>3131.75</v>
      </c>
      <c r="I59" s="45">
        <f>C59*F59+0.31</f>
        <v>1817429.997</v>
      </c>
      <c r="J59" s="45">
        <f>I59</f>
        <v>1817429.997</v>
      </c>
      <c r="K59" s="45">
        <f>I59</f>
        <v>1817429.997</v>
      </c>
      <c r="L59" s="109"/>
      <c r="M59" s="23"/>
      <c r="N59" s="23"/>
    </row>
    <row r="60" spans="1:14" ht="14.25" customHeight="1" x14ac:dyDescent="0.25">
      <c r="A60" s="47" t="s">
        <v>121</v>
      </c>
      <c r="B60" s="67" t="s">
        <v>220</v>
      </c>
      <c r="C60" s="47" t="s">
        <v>1</v>
      </c>
      <c r="D60" s="47" t="s">
        <v>1</v>
      </c>
      <c r="E60" s="47" t="s">
        <v>1</v>
      </c>
      <c r="F60" s="45" t="s">
        <v>1</v>
      </c>
      <c r="G60" s="45" t="s">
        <v>1</v>
      </c>
      <c r="H60" s="45" t="s">
        <v>1</v>
      </c>
      <c r="I60" s="55">
        <f>SUM(I59:I59)</f>
        <v>1817429.997</v>
      </c>
      <c r="J60" s="55">
        <f>SUM(J59:J59)</f>
        <v>1817429.997</v>
      </c>
      <c r="K60" s="55">
        <f>SUM(K59:K59)</f>
        <v>1817429.997</v>
      </c>
      <c r="L60" s="110"/>
      <c r="M60" s="23"/>
      <c r="N60" s="23"/>
    </row>
    <row r="61" spans="1:14" ht="13.15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</row>
    <row r="62" spans="1:14" ht="13.15" x14ac:dyDescent="0.25">
      <c r="A62" s="39" t="s">
        <v>557</v>
      </c>
      <c r="B62" s="23"/>
      <c r="C62" s="23"/>
      <c r="D62" s="23"/>
      <c r="E62" s="23"/>
      <c r="F62" s="23"/>
      <c r="G62" s="23"/>
      <c r="H62" s="23"/>
      <c r="I62" s="107"/>
      <c r="J62" s="23"/>
      <c r="K62" s="23"/>
      <c r="L62" s="23"/>
      <c r="M62" s="23"/>
      <c r="N62" s="23"/>
    </row>
    <row r="63" spans="1:14" ht="13.15" hidden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1:14" ht="27.1" hidden="1" customHeight="1" x14ac:dyDescent="0.2">
      <c r="A64" s="248" t="s">
        <v>199</v>
      </c>
      <c r="B64" s="248" t="s">
        <v>11</v>
      </c>
      <c r="C64" s="248" t="s">
        <v>238</v>
      </c>
      <c r="D64" s="248"/>
      <c r="E64" s="248"/>
      <c r="F64" s="248" t="s">
        <v>239</v>
      </c>
      <c r="G64" s="248"/>
      <c r="H64" s="248"/>
      <c r="I64" s="248" t="s">
        <v>240</v>
      </c>
      <c r="J64" s="248"/>
      <c r="K64" s="248"/>
      <c r="L64" s="261" t="s">
        <v>81</v>
      </c>
      <c r="M64" s="261"/>
      <c r="N64" s="261"/>
    </row>
    <row r="65" spans="1:14" ht="15.85" hidden="1" customHeight="1" x14ac:dyDescent="0.2">
      <c r="A65" s="248"/>
      <c r="B65" s="248"/>
      <c r="C65" s="49" t="s">
        <v>7</v>
      </c>
      <c r="D65" s="49" t="s">
        <v>8</v>
      </c>
      <c r="E65" s="49" t="s">
        <v>9</v>
      </c>
      <c r="F65" s="49" t="s">
        <v>7</v>
      </c>
      <c r="G65" s="49" t="s">
        <v>8</v>
      </c>
      <c r="H65" s="49" t="s">
        <v>9</v>
      </c>
      <c r="I65" s="49" t="s">
        <v>7</v>
      </c>
      <c r="J65" s="49" t="s">
        <v>8</v>
      </c>
      <c r="K65" s="49" t="s">
        <v>9</v>
      </c>
      <c r="L65" s="49" t="s">
        <v>7</v>
      </c>
      <c r="M65" s="49" t="s">
        <v>8</v>
      </c>
      <c r="N65" s="49" t="s">
        <v>9</v>
      </c>
    </row>
    <row r="66" spans="1:14" ht="39.450000000000003" hidden="1" x14ac:dyDescent="0.2">
      <c r="A66" s="248"/>
      <c r="B66" s="248"/>
      <c r="C66" s="46" t="s">
        <v>82</v>
      </c>
      <c r="D66" s="46" t="s">
        <v>83</v>
      </c>
      <c r="E66" s="46" t="s">
        <v>84</v>
      </c>
      <c r="F66" s="46" t="s">
        <v>82</v>
      </c>
      <c r="G66" s="46" t="s">
        <v>83</v>
      </c>
      <c r="H66" s="46" t="s">
        <v>84</v>
      </c>
      <c r="I66" s="46" t="s">
        <v>82</v>
      </c>
      <c r="J66" s="46" t="s">
        <v>83</v>
      </c>
      <c r="K66" s="46" t="s">
        <v>84</v>
      </c>
      <c r="L66" s="46" t="s">
        <v>82</v>
      </c>
      <c r="M66" s="46" t="s">
        <v>83</v>
      </c>
      <c r="N66" s="46" t="s">
        <v>84</v>
      </c>
    </row>
    <row r="67" spans="1:14" ht="13.15" hidden="1" x14ac:dyDescent="0.2">
      <c r="A67" s="47" t="s">
        <v>19</v>
      </c>
      <c r="B67" s="47" t="s">
        <v>20</v>
      </c>
      <c r="C67" s="47" t="s">
        <v>21</v>
      </c>
      <c r="D67" s="47" t="s">
        <v>22</v>
      </c>
      <c r="E67" s="47" t="s">
        <v>23</v>
      </c>
      <c r="F67" s="47" t="s">
        <v>24</v>
      </c>
      <c r="G67" s="47" t="s">
        <v>25</v>
      </c>
      <c r="H67" s="47" t="s">
        <v>26</v>
      </c>
      <c r="I67" s="47" t="s">
        <v>27</v>
      </c>
      <c r="J67" s="47" t="s">
        <v>28</v>
      </c>
      <c r="K67" s="47" t="s">
        <v>29</v>
      </c>
      <c r="L67" s="47" t="s">
        <v>172</v>
      </c>
      <c r="M67" s="47" t="s">
        <v>203</v>
      </c>
      <c r="N67" s="47" t="s">
        <v>204</v>
      </c>
    </row>
    <row r="68" spans="1:14" ht="13.15" hidden="1" x14ac:dyDescent="0.2">
      <c r="A68" s="51"/>
      <c r="B68" s="47" t="s">
        <v>31</v>
      </c>
      <c r="C68" s="47"/>
      <c r="D68" s="47"/>
      <c r="E68" s="47"/>
      <c r="F68" s="47"/>
      <c r="G68" s="47"/>
      <c r="H68" s="47"/>
      <c r="I68" s="47"/>
      <c r="J68" s="47"/>
      <c r="K68" s="47"/>
      <c r="L68" s="45"/>
      <c r="M68" s="45"/>
      <c r="N68" s="45"/>
    </row>
    <row r="69" spans="1:14" ht="13.15" hidden="1" x14ac:dyDescent="0.2">
      <c r="A69" s="47" t="s">
        <v>121</v>
      </c>
      <c r="B69" s="67" t="s">
        <v>221</v>
      </c>
      <c r="C69" s="47" t="s">
        <v>1</v>
      </c>
      <c r="D69" s="47" t="s">
        <v>1</v>
      </c>
      <c r="E69" s="47" t="s">
        <v>1</v>
      </c>
      <c r="F69" s="47" t="s">
        <v>1</v>
      </c>
      <c r="G69" s="47" t="s">
        <v>1</v>
      </c>
      <c r="H69" s="47" t="s">
        <v>1</v>
      </c>
      <c r="I69" s="47" t="s">
        <v>1</v>
      </c>
      <c r="J69" s="47" t="s">
        <v>1</v>
      </c>
      <c r="K69" s="47" t="s">
        <v>1</v>
      </c>
      <c r="L69" s="55"/>
      <c r="M69" s="55"/>
      <c r="N69" s="55"/>
    </row>
    <row r="70" spans="1:14" ht="13.1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</row>
    <row r="71" spans="1:14" ht="13.15" x14ac:dyDescent="0.25">
      <c r="A71" s="39" t="s">
        <v>563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</row>
    <row r="72" spans="1:14" ht="13.15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</row>
    <row r="73" spans="1:14" ht="14.25" customHeight="1" x14ac:dyDescent="0.25">
      <c r="A73" s="286" t="s">
        <v>199</v>
      </c>
      <c r="B73" s="248" t="s">
        <v>11</v>
      </c>
      <c r="C73" s="261" t="s">
        <v>241</v>
      </c>
      <c r="D73" s="261"/>
      <c r="E73" s="261"/>
      <c r="F73" s="261" t="s">
        <v>242</v>
      </c>
      <c r="G73" s="261"/>
      <c r="H73" s="261"/>
      <c r="I73" s="261" t="s">
        <v>81</v>
      </c>
      <c r="J73" s="261"/>
      <c r="K73" s="261"/>
      <c r="L73" s="23"/>
      <c r="M73" s="23"/>
      <c r="N73" s="23"/>
    </row>
    <row r="74" spans="1:14" ht="15.85" customHeight="1" x14ac:dyDescent="0.25">
      <c r="A74" s="287"/>
      <c r="B74" s="248"/>
      <c r="C74" s="150" t="s">
        <v>9</v>
      </c>
      <c r="D74" s="150" t="s">
        <v>571</v>
      </c>
      <c r="E74" s="150" t="s">
        <v>630</v>
      </c>
      <c r="F74" s="150" t="s">
        <v>9</v>
      </c>
      <c r="G74" s="150" t="s">
        <v>571</v>
      </c>
      <c r="H74" s="150" t="s">
        <v>630</v>
      </c>
      <c r="I74" s="150" t="s">
        <v>9</v>
      </c>
      <c r="J74" s="150" t="s">
        <v>571</v>
      </c>
      <c r="K74" s="150" t="s">
        <v>630</v>
      </c>
      <c r="L74" s="23"/>
      <c r="M74" s="23"/>
      <c r="N74" s="23"/>
    </row>
    <row r="75" spans="1:14" ht="40.549999999999997" customHeight="1" x14ac:dyDescent="0.25">
      <c r="A75" s="288"/>
      <c r="B75" s="248"/>
      <c r="C75" s="46" t="s">
        <v>82</v>
      </c>
      <c r="D75" s="46" t="s">
        <v>83</v>
      </c>
      <c r="E75" s="46" t="s">
        <v>84</v>
      </c>
      <c r="F75" s="46" t="s">
        <v>82</v>
      </c>
      <c r="G75" s="46" t="s">
        <v>83</v>
      </c>
      <c r="H75" s="46" t="s">
        <v>84</v>
      </c>
      <c r="I75" s="46" t="s">
        <v>82</v>
      </c>
      <c r="J75" s="46" t="s">
        <v>83</v>
      </c>
      <c r="K75" s="46" t="s">
        <v>84</v>
      </c>
      <c r="L75" s="23"/>
      <c r="M75" s="23"/>
      <c r="N75" s="23"/>
    </row>
    <row r="76" spans="1:14" ht="13.15" x14ac:dyDescent="0.25">
      <c r="A76" s="47" t="s">
        <v>19</v>
      </c>
      <c r="B76" s="47" t="s">
        <v>20</v>
      </c>
      <c r="C76" s="47" t="s">
        <v>21</v>
      </c>
      <c r="D76" s="47" t="s">
        <v>22</v>
      </c>
      <c r="E76" s="47" t="s">
        <v>23</v>
      </c>
      <c r="F76" s="47" t="s">
        <v>24</v>
      </c>
      <c r="G76" s="47" t="s">
        <v>25</v>
      </c>
      <c r="H76" s="47" t="s">
        <v>26</v>
      </c>
      <c r="I76" s="47" t="s">
        <v>27</v>
      </c>
      <c r="J76" s="47" t="s">
        <v>28</v>
      </c>
      <c r="K76" s="47" t="s">
        <v>29</v>
      </c>
      <c r="L76" s="23"/>
      <c r="M76" s="23"/>
      <c r="N76" s="23"/>
    </row>
    <row r="77" spans="1:14" ht="15.05" customHeight="1" x14ac:dyDescent="0.25">
      <c r="A77" s="15" t="s">
        <v>528</v>
      </c>
      <c r="B77" s="47" t="s">
        <v>31</v>
      </c>
      <c r="C77" s="75">
        <v>1</v>
      </c>
      <c r="D77" s="75">
        <f>C77</f>
        <v>1</v>
      </c>
      <c r="E77" s="75">
        <f>C77</f>
        <v>1</v>
      </c>
      <c r="F77" s="75">
        <v>1</v>
      </c>
      <c r="G77" s="75">
        <f>F77</f>
        <v>1</v>
      </c>
      <c r="H77" s="75">
        <f>F77</f>
        <v>1</v>
      </c>
      <c r="I77" s="45">
        <v>33600</v>
      </c>
      <c r="J77" s="45">
        <f>I77</f>
        <v>33600</v>
      </c>
      <c r="K77" s="45">
        <f>I77</f>
        <v>33600</v>
      </c>
      <c r="L77" s="23"/>
      <c r="M77" s="23"/>
      <c r="N77" s="23"/>
    </row>
    <row r="78" spans="1:14" ht="15.05" customHeight="1" x14ac:dyDescent="0.25">
      <c r="A78" s="15" t="s">
        <v>708</v>
      </c>
      <c r="B78" s="237" t="s">
        <v>33</v>
      </c>
      <c r="C78" s="75">
        <v>1</v>
      </c>
      <c r="D78" s="75">
        <v>1</v>
      </c>
      <c r="E78" s="75">
        <v>1</v>
      </c>
      <c r="F78" s="75">
        <v>1</v>
      </c>
      <c r="G78" s="75">
        <v>1</v>
      </c>
      <c r="H78" s="75">
        <v>1</v>
      </c>
      <c r="I78" s="236">
        <v>6000</v>
      </c>
      <c r="J78" s="236">
        <v>0</v>
      </c>
      <c r="K78" s="236">
        <v>0</v>
      </c>
      <c r="L78" s="23"/>
      <c r="M78" s="23"/>
      <c r="N78" s="23"/>
    </row>
    <row r="79" spans="1:14" ht="13.15" x14ac:dyDescent="0.25">
      <c r="A79" s="47" t="s">
        <v>121</v>
      </c>
      <c r="B79" s="67" t="s">
        <v>222</v>
      </c>
      <c r="C79" s="47" t="s">
        <v>1</v>
      </c>
      <c r="D79" s="47" t="s">
        <v>1</v>
      </c>
      <c r="E79" s="47" t="s">
        <v>1</v>
      </c>
      <c r="F79" s="47" t="s">
        <v>1</v>
      </c>
      <c r="G79" s="47" t="s">
        <v>1</v>
      </c>
      <c r="H79" s="47" t="s">
        <v>1</v>
      </c>
      <c r="I79" s="55">
        <f>SUM(I77:I78)</f>
        <v>39600</v>
      </c>
      <c r="J79" s="55">
        <f>SUM(J77:J77)</f>
        <v>33600</v>
      </c>
      <c r="K79" s="55">
        <f>SUM(K77:K77)</f>
        <v>33600</v>
      </c>
      <c r="L79" s="23"/>
      <c r="M79" s="23"/>
      <c r="N79" s="23"/>
    </row>
    <row r="80" spans="1:14" ht="13.15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</row>
    <row r="81" spans="1:14" ht="13.15" x14ac:dyDescent="0.25">
      <c r="A81" s="39" t="s">
        <v>559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</row>
    <row r="82" spans="1:14" ht="13.15" hidden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t="40.549999999999997" hidden="1" customHeight="1" x14ac:dyDescent="0.25">
      <c r="A83" s="286" t="s">
        <v>199</v>
      </c>
      <c r="B83" s="248" t="s">
        <v>11</v>
      </c>
      <c r="C83" s="248" t="s">
        <v>243</v>
      </c>
      <c r="D83" s="248"/>
      <c r="E83" s="248"/>
      <c r="F83" s="248" t="s">
        <v>244</v>
      </c>
      <c r="G83" s="248"/>
      <c r="H83" s="248"/>
      <c r="I83" s="261" t="s">
        <v>81</v>
      </c>
      <c r="J83" s="261"/>
      <c r="K83" s="261"/>
      <c r="L83" s="23"/>
      <c r="M83" s="23"/>
      <c r="N83" s="23"/>
    </row>
    <row r="84" spans="1:14" ht="15.05" hidden="1" customHeight="1" x14ac:dyDescent="0.25">
      <c r="A84" s="287"/>
      <c r="B84" s="248"/>
      <c r="C84" s="47" t="s">
        <v>7</v>
      </c>
      <c r="D84" s="47" t="s">
        <v>8</v>
      </c>
      <c r="E84" s="47" t="s">
        <v>9</v>
      </c>
      <c r="F84" s="47" t="s">
        <v>7</v>
      </c>
      <c r="G84" s="47" t="s">
        <v>8</v>
      </c>
      <c r="H84" s="47" t="s">
        <v>9</v>
      </c>
      <c r="I84" s="47" t="s">
        <v>7</v>
      </c>
      <c r="J84" s="47" t="s">
        <v>8</v>
      </c>
      <c r="K84" s="47" t="s">
        <v>9</v>
      </c>
      <c r="L84" s="23"/>
      <c r="M84" s="23"/>
      <c r="N84" s="23"/>
    </row>
    <row r="85" spans="1:14" ht="53.25" hidden="1" customHeight="1" x14ac:dyDescent="0.25">
      <c r="A85" s="288"/>
      <c r="B85" s="248"/>
      <c r="C85" s="46" t="s">
        <v>82</v>
      </c>
      <c r="D85" s="46" t="s">
        <v>83</v>
      </c>
      <c r="E85" s="46" t="s">
        <v>84</v>
      </c>
      <c r="F85" s="46" t="s">
        <v>82</v>
      </c>
      <c r="G85" s="46" t="s">
        <v>83</v>
      </c>
      <c r="H85" s="46" t="s">
        <v>84</v>
      </c>
      <c r="I85" s="46" t="s">
        <v>82</v>
      </c>
      <c r="J85" s="46" t="s">
        <v>83</v>
      </c>
      <c r="K85" s="46" t="s">
        <v>84</v>
      </c>
      <c r="L85" s="23"/>
      <c r="M85" s="23"/>
      <c r="N85" s="23"/>
    </row>
    <row r="86" spans="1:14" ht="13.15" hidden="1" x14ac:dyDescent="0.25">
      <c r="A86" s="47" t="s">
        <v>19</v>
      </c>
      <c r="B86" s="47" t="s">
        <v>20</v>
      </c>
      <c r="C86" s="47" t="s">
        <v>21</v>
      </c>
      <c r="D86" s="47" t="s">
        <v>22</v>
      </c>
      <c r="E86" s="47" t="s">
        <v>23</v>
      </c>
      <c r="F86" s="47" t="s">
        <v>24</v>
      </c>
      <c r="G86" s="47" t="s">
        <v>25</v>
      </c>
      <c r="H86" s="47" t="s">
        <v>26</v>
      </c>
      <c r="I86" s="47" t="s">
        <v>27</v>
      </c>
      <c r="J86" s="47" t="s">
        <v>28</v>
      </c>
      <c r="K86" s="47" t="s">
        <v>29</v>
      </c>
      <c r="L86" s="23"/>
      <c r="M86" s="23"/>
      <c r="N86" s="23"/>
    </row>
    <row r="87" spans="1:14" ht="13.15" hidden="1" x14ac:dyDescent="0.25">
      <c r="A87" s="51"/>
      <c r="B87" s="47" t="s">
        <v>31</v>
      </c>
      <c r="C87" s="51"/>
      <c r="D87" s="51"/>
      <c r="E87" s="51"/>
      <c r="F87" s="51"/>
      <c r="G87" s="51"/>
      <c r="H87" s="51"/>
      <c r="I87" s="45"/>
      <c r="J87" s="45"/>
      <c r="K87" s="45"/>
      <c r="L87" s="23"/>
      <c r="M87" s="23"/>
      <c r="N87" s="23"/>
    </row>
    <row r="88" spans="1:14" ht="13.15" hidden="1" x14ac:dyDescent="0.25">
      <c r="A88" s="47" t="s">
        <v>121</v>
      </c>
      <c r="B88" s="67" t="s">
        <v>223</v>
      </c>
      <c r="C88" s="47" t="s">
        <v>1</v>
      </c>
      <c r="D88" s="47" t="s">
        <v>1</v>
      </c>
      <c r="E88" s="47" t="s">
        <v>1</v>
      </c>
      <c r="F88" s="47" t="s">
        <v>1</v>
      </c>
      <c r="G88" s="47" t="s">
        <v>1</v>
      </c>
      <c r="H88" s="47" t="s">
        <v>1</v>
      </c>
      <c r="I88" s="55"/>
      <c r="J88" s="55"/>
      <c r="K88" s="55"/>
      <c r="L88" s="23"/>
      <c r="M88" s="23"/>
      <c r="N88" s="23"/>
    </row>
    <row r="89" spans="1:14" ht="13.15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</row>
    <row r="90" spans="1:14" ht="13.15" x14ac:dyDescent="0.2">
      <c r="A90" s="272" t="s">
        <v>564</v>
      </c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  <c r="M90" s="272"/>
      <c r="N90" s="272"/>
    </row>
    <row r="91" spans="1:14" ht="13.15" hidden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</row>
    <row r="92" spans="1:14" ht="38.200000000000003" hidden="1" customHeight="1" x14ac:dyDescent="0.25">
      <c r="A92" s="248" t="s">
        <v>199</v>
      </c>
      <c r="B92" s="248" t="s">
        <v>11</v>
      </c>
      <c r="C92" s="248" t="s">
        <v>245</v>
      </c>
      <c r="D92" s="248"/>
      <c r="E92" s="248"/>
      <c r="F92" s="248" t="s">
        <v>246</v>
      </c>
      <c r="G92" s="248"/>
      <c r="H92" s="248"/>
      <c r="I92" s="261" t="s">
        <v>81</v>
      </c>
      <c r="J92" s="261"/>
      <c r="K92" s="261"/>
      <c r="L92" s="23"/>
      <c r="M92" s="23"/>
      <c r="N92" s="23"/>
    </row>
    <row r="93" spans="1:14" ht="18" hidden="1" customHeight="1" x14ac:dyDescent="0.25">
      <c r="A93" s="248"/>
      <c r="B93" s="248"/>
      <c r="C93" s="150" t="s">
        <v>9</v>
      </c>
      <c r="D93" s="150" t="s">
        <v>571</v>
      </c>
      <c r="E93" s="150" t="s">
        <v>630</v>
      </c>
      <c r="F93" s="150" t="s">
        <v>9</v>
      </c>
      <c r="G93" s="150" t="s">
        <v>571</v>
      </c>
      <c r="H93" s="150" t="s">
        <v>630</v>
      </c>
      <c r="I93" s="150" t="s">
        <v>9</v>
      </c>
      <c r="J93" s="150" t="s">
        <v>571</v>
      </c>
      <c r="K93" s="150" t="s">
        <v>630</v>
      </c>
      <c r="L93" s="23"/>
      <c r="M93" s="23"/>
      <c r="N93" s="23"/>
    </row>
    <row r="94" spans="1:14" ht="39" hidden="1" customHeight="1" x14ac:dyDescent="0.25">
      <c r="A94" s="248"/>
      <c r="B94" s="248"/>
      <c r="C94" s="46" t="s">
        <v>82</v>
      </c>
      <c r="D94" s="46" t="s">
        <v>83</v>
      </c>
      <c r="E94" s="46" t="s">
        <v>84</v>
      </c>
      <c r="F94" s="46" t="s">
        <v>82</v>
      </c>
      <c r="G94" s="46" t="s">
        <v>83</v>
      </c>
      <c r="H94" s="46" t="s">
        <v>84</v>
      </c>
      <c r="I94" s="46" t="s">
        <v>82</v>
      </c>
      <c r="J94" s="46" t="s">
        <v>83</v>
      </c>
      <c r="K94" s="46" t="s">
        <v>84</v>
      </c>
      <c r="L94" s="23"/>
      <c r="M94" s="23"/>
      <c r="N94" s="23"/>
    </row>
    <row r="95" spans="1:14" ht="13.15" hidden="1" x14ac:dyDescent="0.25">
      <c r="A95" s="47" t="s">
        <v>19</v>
      </c>
      <c r="B95" s="47" t="s">
        <v>20</v>
      </c>
      <c r="C95" s="47" t="s">
        <v>21</v>
      </c>
      <c r="D95" s="47" t="s">
        <v>22</v>
      </c>
      <c r="E95" s="47" t="s">
        <v>23</v>
      </c>
      <c r="F95" s="47" t="s">
        <v>24</v>
      </c>
      <c r="G95" s="47" t="s">
        <v>25</v>
      </c>
      <c r="H95" s="47" t="s">
        <v>26</v>
      </c>
      <c r="I95" s="47" t="s">
        <v>27</v>
      </c>
      <c r="J95" s="47" t="s">
        <v>28</v>
      </c>
      <c r="K95" s="47" t="s">
        <v>29</v>
      </c>
      <c r="L95" s="23"/>
      <c r="M95" s="23"/>
      <c r="N95" s="23"/>
    </row>
    <row r="96" spans="1:14" ht="40.549999999999997" hidden="1" customHeight="1" x14ac:dyDescent="0.25">
      <c r="A96" s="15" t="s">
        <v>529</v>
      </c>
      <c r="B96" s="47" t="s">
        <v>31</v>
      </c>
      <c r="C96" s="75"/>
      <c r="D96" s="75"/>
      <c r="E96" s="75"/>
      <c r="F96" s="45"/>
      <c r="G96" s="45"/>
      <c r="H96" s="45"/>
      <c r="I96" s="45"/>
      <c r="J96" s="45"/>
      <c r="K96" s="45"/>
      <c r="L96" s="23"/>
      <c r="M96" s="23"/>
      <c r="N96" s="23"/>
    </row>
    <row r="97" spans="1:14" ht="14.25" hidden="1" customHeight="1" x14ac:dyDescent="0.25">
      <c r="A97" s="47" t="s">
        <v>121</v>
      </c>
      <c r="B97" s="67" t="s">
        <v>224</v>
      </c>
      <c r="C97" s="47" t="s">
        <v>1</v>
      </c>
      <c r="D97" s="47" t="s">
        <v>1</v>
      </c>
      <c r="E97" s="47" t="s">
        <v>1</v>
      </c>
      <c r="F97" s="45" t="s">
        <v>1</v>
      </c>
      <c r="G97" s="45" t="s">
        <v>1</v>
      </c>
      <c r="H97" s="45" t="s">
        <v>1</v>
      </c>
      <c r="I97" s="55">
        <f>I96</f>
        <v>0</v>
      </c>
      <c r="J97" s="55">
        <f>J96</f>
        <v>0</v>
      </c>
      <c r="K97" s="55">
        <f>K96</f>
        <v>0</v>
      </c>
      <c r="L97" s="23"/>
      <c r="M97" s="23"/>
      <c r="N97" s="23"/>
    </row>
    <row r="98" spans="1:14" ht="14.25" customHeight="1" x14ac:dyDescent="0.25">
      <c r="A98" s="77"/>
      <c r="B98" s="77"/>
      <c r="C98" s="77"/>
      <c r="D98" s="77"/>
      <c r="E98" s="77"/>
      <c r="F98" s="78"/>
      <c r="G98" s="78"/>
      <c r="H98" s="78"/>
      <c r="I98" s="79"/>
      <c r="J98" s="79"/>
      <c r="K98" s="79"/>
      <c r="L98" s="23"/>
      <c r="M98" s="23"/>
      <c r="N98" s="23"/>
    </row>
    <row r="99" spans="1:14" ht="13.15" x14ac:dyDescent="0.25">
      <c r="A99" s="39" t="s">
        <v>561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</row>
    <row r="100" spans="1:14" ht="13.15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4" ht="15.85" customHeight="1" x14ac:dyDescent="0.2">
      <c r="A101" s="286" t="s">
        <v>199</v>
      </c>
      <c r="B101" s="248" t="s">
        <v>11</v>
      </c>
      <c r="C101" s="261" t="s">
        <v>241</v>
      </c>
      <c r="D101" s="261"/>
      <c r="E101" s="261"/>
      <c r="F101" s="261" t="s">
        <v>242</v>
      </c>
      <c r="G101" s="261"/>
      <c r="H101" s="261"/>
      <c r="I101" s="261" t="s">
        <v>81</v>
      </c>
      <c r="J101" s="261"/>
      <c r="K101" s="261"/>
      <c r="L101" s="279" t="s">
        <v>672</v>
      </c>
    </row>
    <row r="102" spans="1:14" ht="16.45" customHeight="1" x14ac:dyDescent="0.2">
      <c r="A102" s="287"/>
      <c r="B102" s="248"/>
      <c r="C102" s="150" t="s">
        <v>9</v>
      </c>
      <c r="D102" s="150" t="s">
        <v>571</v>
      </c>
      <c r="E102" s="150" t="s">
        <v>630</v>
      </c>
      <c r="F102" s="150" t="s">
        <v>9</v>
      </c>
      <c r="G102" s="150" t="s">
        <v>571</v>
      </c>
      <c r="H102" s="150" t="s">
        <v>630</v>
      </c>
      <c r="I102" s="150" t="s">
        <v>9</v>
      </c>
      <c r="J102" s="150" t="s">
        <v>571</v>
      </c>
      <c r="K102" s="150" t="s">
        <v>630</v>
      </c>
      <c r="L102" s="280"/>
    </row>
    <row r="103" spans="1:14" ht="39" customHeight="1" x14ac:dyDescent="0.2">
      <c r="A103" s="288"/>
      <c r="B103" s="248"/>
      <c r="C103" s="46" t="s">
        <v>82</v>
      </c>
      <c r="D103" s="46" t="s">
        <v>83</v>
      </c>
      <c r="E103" s="46" t="s">
        <v>84</v>
      </c>
      <c r="F103" s="46" t="s">
        <v>82</v>
      </c>
      <c r="G103" s="46" t="s">
        <v>83</v>
      </c>
      <c r="H103" s="46" t="s">
        <v>84</v>
      </c>
      <c r="I103" s="46" t="s">
        <v>82</v>
      </c>
      <c r="J103" s="46" t="s">
        <v>83</v>
      </c>
      <c r="K103" s="46" t="s">
        <v>84</v>
      </c>
      <c r="L103" s="281"/>
    </row>
    <row r="104" spans="1:14" ht="13.15" x14ac:dyDescent="0.2">
      <c r="A104" s="47" t="s">
        <v>19</v>
      </c>
      <c r="B104" s="47" t="s">
        <v>20</v>
      </c>
      <c r="C104" s="47" t="s">
        <v>21</v>
      </c>
      <c r="D104" s="47" t="s">
        <v>22</v>
      </c>
      <c r="E104" s="47" t="s">
        <v>23</v>
      </c>
      <c r="F104" s="47" t="s">
        <v>24</v>
      </c>
      <c r="G104" s="47" t="s">
        <v>25</v>
      </c>
      <c r="H104" s="47" t="s">
        <v>26</v>
      </c>
      <c r="I104" s="47" t="s">
        <v>27</v>
      </c>
      <c r="J104" s="47" t="s">
        <v>28</v>
      </c>
      <c r="K104" s="47" t="s">
        <v>29</v>
      </c>
      <c r="L104" s="179">
        <v>12</v>
      </c>
    </row>
    <row r="105" spans="1:14" ht="13.15" x14ac:dyDescent="0.2">
      <c r="A105" s="15" t="s">
        <v>509</v>
      </c>
      <c r="B105" s="175" t="s">
        <v>31</v>
      </c>
      <c r="C105" s="75">
        <v>1</v>
      </c>
      <c r="D105" s="75">
        <f t="shared" ref="D105:D106" si="18">C105</f>
        <v>1</v>
      </c>
      <c r="E105" s="75">
        <f t="shared" ref="E105:E106" si="19">C105</f>
        <v>1</v>
      </c>
      <c r="F105" s="75">
        <v>1</v>
      </c>
      <c r="G105" s="75">
        <f t="shared" ref="G105:G106" si="20">F105</f>
        <v>1</v>
      </c>
      <c r="H105" s="75">
        <f t="shared" ref="H105:H106" si="21">F105</f>
        <v>1</v>
      </c>
      <c r="I105" s="174">
        <v>22000</v>
      </c>
      <c r="J105" s="174">
        <f t="shared" ref="J105" si="22">I105</f>
        <v>22000</v>
      </c>
      <c r="K105" s="174">
        <f t="shared" ref="K105" si="23">I105</f>
        <v>22000</v>
      </c>
      <c r="L105" s="65">
        <v>0</v>
      </c>
    </row>
    <row r="106" spans="1:14" ht="13.15" x14ac:dyDescent="0.2">
      <c r="A106" s="15" t="s">
        <v>669</v>
      </c>
      <c r="B106" s="175" t="s">
        <v>33</v>
      </c>
      <c r="C106" s="75">
        <v>1</v>
      </c>
      <c r="D106" s="75">
        <f t="shared" si="18"/>
        <v>1</v>
      </c>
      <c r="E106" s="75">
        <f t="shared" si="19"/>
        <v>1</v>
      </c>
      <c r="F106" s="75">
        <v>1</v>
      </c>
      <c r="G106" s="75">
        <f t="shared" si="20"/>
        <v>1</v>
      </c>
      <c r="H106" s="75">
        <f t="shared" si="21"/>
        <v>1</v>
      </c>
      <c r="I106" s="174">
        <f>25000-25000</f>
        <v>0</v>
      </c>
      <c r="J106" s="174">
        <v>25000</v>
      </c>
      <c r="K106" s="174">
        <v>25000</v>
      </c>
      <c r="L106" s="65">
        <v>0</v>
      </c>
    </row>
    <row r="107" spans="1:14" ht="15.85" customHeight="1" x14ac:dyDescent="0.2">
      <c r="A107" s="15" t="s">
        <v>530</v>
      </c>
      <c r="B107" s="175" t="s">
        <v>380</v>
      </c>
      <c r="C107" s="75">
        <v>1</v>
      </c>
      <c r="D107" s="75">
        <f>C107</f>
        <v>1</v>
      </c>
      <c r="E107" s="75">
        <f>C107</f>
        <v>1</v>
      </c>
      <c r="F107" s="75">
        <v>1</v>
      </c>
      <c r="G107" s="75">
        <f>F107</f>
        <v>1</v>
      </c>
      <c r="H107" s="75">
        <f>F107</f>
        <v>1</v>
      </c>
      <c r="I107" s="45">
        <v>54960</v>
      </c>
      <c r="J107" s="45">
        <f>I107</f>
        <v>54960</v>
      </c>
      <c r="K107" s="45">
        <f>I107</f>
        <v>54960</v>
      </c>
      <c r="L107" s="65">
        <v>0</v>
      </c>
    </row>
    <row r="108" spans="1:14" ht="15.05" customHeight="1" x14ac:dyDescent="0.2">
      <c r="A108" s="15" t="s">
        <v>531</v>
      </c>
      <c r="B108" s="175" t="s">
        <v>428</v>
      </c>
      <c r="C108" s="75">
        <v>1</v>
      </c>
      <c r="D108" s="75">
        <f t="shared" ref="D108:D112" si="24">C108</f>
        <v>1</v>
      </c>
      <c r="E108" s="75">
        <f t="shared" ref="E108:E112" si="25">C108</f>
        <v>1</v>
      </c>
      <c r="F108" s="75">
        <v>1</v>
      </c>
      <c r="G108" s="75">
        <f t="shared" ref="G108:G112" si="26">F108</f>
        <v>1</v>
      </c>
      <c r="H108" s="75">
        <f t="shared" ref="H108:H113" si="27">F108</f>
        <v>1</v>
      </c>
      <c r="I108" s="45">
        <v>250000</v>
      </c>
      <c r="J108" s="45">
        <f t="shared" ref="J108:J112" si="28">I108</f>
        <v>250000</v>
      </c>
      <c r="K108" s="45">
        <f t="shared" ref="K108:K112" si="29">I108</f>
        <v>250000</v>
      </c>
      <c r="L108" s="65">
        <v>0</v>
      </c>
    </row>
    <row r="109" spans="1:14" ht="15.85" customHeight="1" x14ac:dyDescent="0.2">
      <c r="A109" s="15" t="s">
        <v>532</v>
      </c>
      <c r="B109" s="175" t="s">
        <v>427</v>
      </c>
      <c r="C109" s="75">
        <v>1</v>
      </c>
      <c r="D109" s="75">
        <f t="shared" si="24"/>
        <v>1</v>
      </c>
      <c r="E109" s="75">
        <f t="shared" si="25"/>
        <v>1</v>
      </c>
      <c r="F109" s="75">
        <v>3</v>
      </c>
      <c r="G109" s="75">
        <f t="shared" si="26"/>
        <v>3</v>
      </c>
      <c r="H109" s="75">
        <f t="shared" si="27"/>
        <v>3</v>
      </c>
      <c r="I109" s="45">
        <v>9000</v>
      </c>
      <c r="J109" s="45">
        <f t="shared" si="28"/>
        <v>9000</v>
      </c>
      <c r="K109" s="45">
        <f t="shared" si="29"/>
        <v>9000</v>
      </c>
      <c r="L109" s="65">
        <v>0</v>
      </c>
    </row>
    <row r="110" spans="1:14" ht="15.05" customHeight="1" x14ac:dyDescent="0.2">
      <c r="A110" s="15" t="s">
        <v>533</v>
      </c>
      <c r="B110" s="175" t="s">
        <v>429</v>
      </c>
      <c r="C110" s="75">
        <v>1</v>
      </c>
      <c r="D110" s="75">
        <f t="shared" si="24"/>
        <v>1</v>
      </c>
      <c r="E110" s="75">
        <f t="shared" si="25"/>
        <v>1</v>
      </c>
      <c r="F110" s="75">
        <v>1</v>
      </c>
      <c r="G110" s="75">
        <f t="shared" si="26"/>
        <v>1</v>
      </c>
      <c r="H110" s="75">
        <f t="shared" si="27"/>
        <v>1</v>
      </c>
      <c r="I110" s="65">
        <v>60000</v>
      </c>
      <c r="J110" s="45">
        <f t="shared" si="28"/>
        <v>60000</v>
      </c>
      <c r="K110" s="45">
        <f t="shared" si="29"/>
        <v>60000</v>
      </c>
      <c r="L110" s="65">
        <v>0</v>
      </c>
    </row>
    <row r="111" spans="1:14" ht="14.25" customHeight="1" x14ac:dyDescent="0.2">
      <c r="A111" s="15" t="s">
        <v>534</v>
      </c>
      <c r="B111" s="175" t="s">
        <v>430</v>
      </c>
      <c r="C111" s="75">
        <v>1</v>
      </c>
      <c r="D111" s="75">
        <f t="shared" si="24"/>
        <v>1</v>
      </c>
      <c r="E111" s="75">
        <f t="shared" si="25"/>
        <v>1</v>
      </c>
      <c r="F111" s="75">
        <v>1</v>
      </c>
      <c r="G111" s="75">
        <f t="shared" si="26"/>
        <v>1</v>
      </c>
      <c r="H111" s="75">
        <f t="shared" si="27"/>
        <v>1</v>
      </c>
      <c r="I111" s="65">
        <v>50000</v>
      </c>
      <c r="J111" s="45">
        <f t="shared" si="28"/>
        <v>50000</v>
      </c>
      <c r="K111" s="45">
        <f t="shared" si="29"/>
        <v>50000</v>
      </c>
      <c r="L111" s="65">
        <v>0</v>
      </c>
    </row>
    <row r="112" spans="1:14" ht="15.05" customHeight="1" x14ac:dyDescent="0.2">
      <c r="A112" s="15" t="s">
        <v>535</v>
      </c>
      <c r="B112" s="175" t="s">
        <v>431</v>
      </c>
      <c r="C112" s="75">
        <v>1</v>
      </c>
      <c r="D112" s="75">
        <f t="shared" si="24"/>
        <v>1</v>
      </c>
      <c r="E112" s="75">
        <f t="shared" si="25"/>
        <v>1</v>
      </c>
      <c r="F112" s="75">
        <v>17</v>
      </c>
      <c r="G112" s="75">
        <f t="shared" si="26"/>
        <v>17</v>
      </c>
      <c r="H112" s="75">
        <f t="shared" si="27"/>
        <v>17</v>
      </c>
      <c r="I112" s="65">
        <v>70000</v>
      </c>
      <c r="J112" s="45">
        <f t="shared" si="28"/>
        <v>70000</v>
      </c>
      <c r="K112" s="45">
        <f t="shared" si="29"/>
        <v>70000</v>
      </c>
      <c r="L112" s="65">
        <v>0</v>
      </c>
    </row>
    <row r="113" spans="1:12" ht="41.95" customHeight="1" x14ac:dyDescent="0.2">
      <c r="A113" s="15" t="s">
        <v>673</v>
      </c>
      <c r="B113" s="179" t="s">
        <v>432</v>
      </c>
      <c r="C113" s="75">
        <v>0</v>
      </c>
      <c r="D113" s="75">
        <v>0</v>
      </c>
      <c r="E113" s="75">
        <v>0</v>
      </c>
      <c r="F113" s="75">
        <v>0</v>
      </c>
      <c r="G113" s="75">
        <v>0</v>
      </c>
      <c r="H113" s="75">
        <f t="shared" si="27"/>
        <v>0</v>
      </c>
      <c r="I113" s="65">
        <v>0</v>
      </c>
      <c r="J113" s="178">
        <v>0</v>
      </c>
      <c r="K113" s="178">
        <v>0</v>
      </c>
      <c r="L113" s="65">
        <v>146334.22</v>
      </c>
    </row>
    <row r="114" spans="1:12" ht="14.25" customHeight="1" x14ac:dyDescent="0.2">
      <c r="A114" s="47" t="s">
        <v>121</v>
      </c>
      <c r="B114" s="67" t="s">
        <v>225</v>
      </c>
      <c r="C114" s="47" t="s">
        <v>1</v>
      </c>
      <c r="D114" s="47" t="s">
        <v>1</v>
      </c>
      <c r="E114" s="47" t="s">
        <v>1</v>
      </c>
      <c r="F114" s="47" t="s">
        <v>1</v>
      </c>
      <c r="G114" s="47" t="s">
        <v>1</v>
      </c>
      <c r="H114" s="47" t="s">
        <v>1</v>
      </c>
      <c r="I114" s="55">
        <f>SUM(I105:I113)</f>
        <v>515960</v>
      </c>
      <c r="J114" s="176">
        <f>SUM(J105:J113)</f>
        <v>540960</v>
      </c>
      <c r="K114" s="176">
        <f>SUM(K105:K113)</f>
        <v>540960</v>
      </c>
      <c r="L114" s="80">
        <f>SUM(L105:L113)</f>
        <v>146334.22</v>
      </c>
    </row>
    <row r="115" spans="1:12" ht="14.25" customHeight="1" x14ac:dyDescent="0.2">
      <c r="A115" s="77"/>
      <c r="B115" s="77"/>
      <c r="C115" s="77"/>
      <c r="D115" s="77"/>
      <c r="E115" s="77"/>
      <c r="F115" s="77"/>
      <c r="G115" s="77"/>
      <c r="H115" s="77"/>
      <c r="I115" s="79"/>
      <c r="J115" s="79"/>
      <c r="K115" s="79"/>
    </row>
    <row r="116" spans="1:12" ht="13.15" x14ac:dyDescent="0.25">
      <c r="A116" s="39" t="s">
        <v>562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</row>
    <row r="117" spans="1:12" ht="13.15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</row>
    <row r="118" spans="1:12" ht="15.05" customHeight="1" x14ac:dyDescent="0.2">
      <c r="A118" s="286" t="s">
        <v>199</v>
      </c>
      <c r="B118" s="248" t="s">
        <v>11</v>
      </c>
      <c r="C118" s="261" t="s">
        <v>513</v>
      </c>
      <c r="D118" s="261"/>
      <c r="E118" s="261"/>
      <c r="F118" s="261" t="s">
        <v>512</v>
      </c>
      <c r="G118" s="261"/>
      <c r="H118" s="261"/>
      <c r="I118" s="261" t="s">
        <v>81</v>
      </c>
      <c r="J118" s="261"/>
      <c r="K118" s="261"/>
      <c r="L118" s="279" t="s">
        <v>672</v>
      </c>
    </row>
    <row r="119" spans="1:12" ht="15.85" customHeight="1" x14ac:dyDescent="0.2">
      <c r="A119" s="287"/>
      <c r="B119" s="248"/>
      <c r="C119" s="150" t="s">
        <v>9</v>
      </c>
      <c r="D119" s="150" t="s">
        <v>571</v>
      </c>
      <c r="E119" s="150" t="s">
        <v>630</v>
      </c>
      <c r="F119" s="150" t="s">
        <v>9</v>
      </c>
      <c r="G119" s="150" t="s">
        <v>571</v>
      </c>
      <c r="H119" s="150" t="s">
        <v>630</v>
      </c>
      <c r="I119" s="150" t="s">
        <v>9</v>
      </c>
      <c r="J119" s="150" t="s">
        <v>571</v>
      </c>
      <c r="K119" s="150" t="s">
        <v>630</v>
      </c>
      <c r="L119" s="280"/>
    </row>
    <row r="120" spans="1:12" ht="39" customHeight="1" x14ac:dyDescent="0.2">
      <c r="A120" s="288"/>
      <c r="B120" s="248"/>
      <c r="C120" s="46" t="s">
        <v>82</v>
      </c>
      <c r="D120" s="46" t="s">
        <v>83</v>
      </c>
      <c r="E120" s="46" t="s">
        <v>84</v>
      </c>
      <c r="F120" s="46" t="s">
        <v>82</v>
      </c>
      <c r="G120" s="46" t="s">
        <v>83</v>
      </c>
      <c r="H120" s="46" t="s">
        <v>84</v>
      </c>
      <c r="I120" s="46" t="s">
        <v>82</v>
      </c>
      <c r="J120" s="46" t="s">
        <v>83</v>
      </c>
      <c r="K120" s="46" t="s">
        <v>84</v>
      </c>
      <c r="L120" s="281"/>
    </row>
    <row r="121" spans="1:12" ht="13.15" x14ac:dyDescent="0.2">
      <c r="A121" s="47" t="s">
        <v>19</v>
      </c>
      <c r="B121" s="47" t="s">
        <v>20</v>
      </c>
      <c r="C121" s="47" t="s">
        <v>21</v>
      </c>
      <c r="D121" s="47" t="s">
        <v>22</v>
      </c>
      <c r="E121" s="47" t="s">
        <v>23</v>
      </c>
      <c r="F121" s="47" t="s">
        <v>24</v>
      </c>
      <c r="G121" s="47" t="s">
        <v>25</v>
      </c>
      <c r="H121" s="47" t="s">
        <v>26</v>
      </c>
      <c r="I121" s="47" t="s">
        <v>27</v>
      </c>
      <c r="J121" s="47" t="s">
        <v>28</v>
      </c>
      <c r="K121" s="47" t="s">
        <v>29</v>
      </c>
      <c r="L121" s="179">
        <v>12</v>
      </c>
    </row>
    <row r="122" spans="1:12" ht="16.45" customHeight="1" x14ac:dyDescent="0.2">
      <c r="A122" s="15" t="s">
        <v>620</v>
      </c>
      <c r="B122" s="67" t="s">
        <v>31</v>
      </c>
      <c r="C122" s="75">
        <v>0</v>
      </c>
      <c r="D122" s="75">
        <v>0</v>
      </c>
      <c r="E122" s="75">
        <v>0</v>
      </c>
      <c r="F122" s="133">
        <v>0</v>
      </c>
      <c r="G122" s="133">
        <v>0</v>
      </c>
      <c r="H122" s="133">
        <v>0</v>
      </c>
      <c r="I122" s="133">
        <v>0</v>
      </c>
      <c r="J122" s="133">
        <v>0</v>
      </c>
      <c r="K122" s="133">
        <v>0</v>
      </c>
      <c r="L122" s="65">
        <v>500000</v>
      </c>
    </row>
    <row r="123" spans="1:12" ht="15.85" customHeight="1" x14ac:dyDescent="0.2">
      <c r="A123" s="47" t="s">
        <v>121</v>
      </c>
      <c r="B123" s="67" t="s">
        <v>226</v>
      </c>
      <c r="C123" s="47" t="s">
        <v>1</v>
      </c>
      <c r="D123" s="47" t="s">
        <v>1</v>
      </c>
      <c r="E123" s="47" t="s">
        <v>1</v>
      </c>
      <c r="F123" s="47" t="s">
        <v>1</v>
      </c>
      <c r="G123" s="47" t="s">
        <v>1</v>
      </c>
      <c r="H123" s="47" t="s">
        <v>1</v>
      </c>
      <c r="I123" s="55">
        <f>SUM(I122:I122)</f>
        <v>0</v>
      </c>
      <c r="J123" s="55">
        <f>SUM(J122:J122)</f>
        <v>0</v>
      </c>
      <c r="K123" s="55">
        <f>SUM(K122:K122)</f>
        <v>0</v>
      </c>
      <c r="L123" s="80">
        <f>SUM(L122)</f>
        <v>500000</v>
      </c>
    </row>
    <row r="124" spans="1:12" ht="15.85" customHeight="1" x14ac:dyDescent="0.2">
      <c r="A124" s="77"/>
      <c r="B124" s="77"/>
      <c r="C124" s="77"/>
      <c r="D124" s="77"/>
      <c r="E124" s="77"/>
      <c r="F124" s="77"/>
      <c r="G124" s="77"/>
      <c r="H124" s="77"/>
      <c r="I124" s="79"/>
      <c r="J124" s="79"/>
      <c r="K124" s="79"/>
    </row>
    <row r="125" spans="1:12" ht="13.15" x14ac:dyDescent="0.25">
      <c r="A125" s="39" t="s">
        <v>516</v>
      </c>
      <c r="B125" s="23"/>
      <c r="C125" s="23"/>
      <c r="D125" s="23"/>
      <c r="E125" s="23"/>
      <c r="F125" s="23"/>
      <c r="G125" s="23"/>
      <c r="H125" s="23"/>
      <c r="I125" s="23"/>
      <c r="J125" s="23"/>
      <c r="K125" s="23"/>
    </row>
    <row r="126" spans="1:12" ht="13.15" hidden="1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</row>
    <row r="127" spans="1:12" ht="15.85" hidden="1" customHeight="1" x14ac:dyDescent="0.2">
      <c r="A127" s="286" t="s">
        <v>199</v>
      </c>
      <c r="B127" s="248" t="s">
        <v>11</v>
      </c>
      <c r="C127" s="261" t="s">
        <v>513</v>
      </c>
      <c r="D127" s="261"/>
      <c r="E127" s="261"/>
      <c r="F127" s="261" t="s">
        <v>512</v>
      </c>
      <c r="G127" s="261"/>
      <c r="H127" s="261"/>
      <c r="I127" s="261" t="s">
        <v>81</v>
      </c>
      <c r="J127" s="261"/>
      <c r="K127" s="261"/>
    </row>
    <row r="128" spans="1:12" ht="14.25" hidden="1" customHeight="1" x14ac:dyDescent="0.2">
      <c r="A128" s="287"/>
      <c r="B128" s="248"/>
      <c r="C128" s="49" t="s">
        <v>7</v>
      </c>
      <c r="D128" s="49" t="s">
        <v>8</v>
      </c>
      <c r="E128" s="49" t="s">
        <v>9</v>
      </c>
      <c r="F128" s="49" t="s">
        <v>7</v>
      </c>
      <c r="G128" s="49" t="s">
        <v>8</v>
      </c>
      <c r="H128" s="49" t="s">
        <v>9</v>
      </c>
      <c r="I128" s="49" t="s">
        <v>7</v>
      </c>
      <c r="J128" s="49" t="s">
        <v>8</v>
      </c>
      <c r="K128" s="49" t="s">
        <v>9</v>
      </c>
    </row>
    <row r="129" spans="1:11" ht="39.450000000000003" hidden="1" x14ac:dyDescent="0.2">
      <c r="A129" s="288"/>
      <c r="B129" s="248"/>
      <c r="C129" s="46" t="s">
        <v>82</v>
      </c>
      <c r="D129" s="46" t="s">
        <v>83</v>
      </c>
      <c r="E129" s="46" t="s">
        <v>84</v>
      </c>
      <c r="F129" s="46" t="s">
        <v>82</v>
      </c>
      <c r="G129" s="46" t="s">
        <v>83</v>
      </c>
      <c r="H129" s="46" t="s">
        <v>84</v>
      </c>
      <c r="I129" s="46" t="s">
        <v>82</v>
      </c>
      <c r="J129" s="46" t="s">
        <v>83</v>
      </c>
      <c r="K129" s="46" t="s">
        <v>84</v>
      </c>
    </row>
    <row r="130" spans="1:11" ht="13.15" hidden="1" x14ac:dyDescent="0.2">
      <c r="A130" s="47" t="s">
        <v>19</v>
      </c>
      <c r="B130" s="47" t="s">
        <v>20</v>
      </c>
      <c r="C130" s="47" t="s">
        <v>21</v>
      </c>
      <c r="D130" s="47" t="s">
        <v>22</v>
      </c>
      <c r="E130" s="47" t="s">
        <v>23</v>
      </c>
      <c r="F130" s="47" t="s">
        <v>24</v>
      </c>
      <c r="G130" s="47" t="s">
        <v>25</v>
      </c>
      <c r="H130" s="47" t="s">
        <v>26</v>
      </c>
      <c r="I130" s="47" t="s">
        <v>27</v>
      </c>
      <c r="J130" s="47" t="s">
        <v>28</v>
      </c>
      <c r="K130" s="47" t="s">
        <v>29</v>
      </c>
    </row>
    <row r="131" spans="1:11" ht="16.45" hidden="1" customHeight="1" x14ac:dyDescent="0.2">
      <c r="A131" s="15"/>
      <c r="B131" s="47" t="s">
        <v>31</v>
      </c>
      <c r="C131" s="75"/>
      <c r="D131" s="75">
        <f>C131</f>
        <v>0</v>
      </c>
      <c r="E131" s="75">
        <f>C131</f>
        <v>0</v>
      </c>
      <c r="F131" s="45"/>
      <c r="G131" s="45">
        <f>F131</f>
        <v>0</v>
      </c>
      <c r="H131" s="45">
        <f>F131</f>
        <v>0</v>
      </c>
      <c r="I131" s="45">
        <f>F131</f>
        <v>0</v>
      </c>
      <c r="J131" s="45">
        <f>I131</f>
        <v>0</v>
      </c>
      <c r="K131" s="45">
        <f>I131</f>
        <v>0</v>
      </c>
    </row>
    <row r="132" spans="1:11" ht="13.15" hidden="1" x14ac:dyDescent="0.2">
      <c r="A132" s="47" t="s">
        <v>121</v>
      </c>
      <c r="B132" s="67" t="s">
        <v>541</v>
      </c>
      <c r="C132" s="47" t="s">
        <v>1</v>
      </c>
      <c r="D132" s="47" t="s">
        <v>1</v>
      </c>
      <c r="E132" s="47" t="s">
        <v>1</v>
      </c>
      <c r="F132" s="47" t="s">
        <v>1</v>
      </c>
      <c r="G132" s="47" t="s">
        <v>1</v>
      </c>
      <c r="H132" s="47" t="s">
        <v>1</v>
      </c>
      <c r="I132" s="80">
        <f>SUM(I131:I131)</f>
        <v>0</v>
      </c>
      <c r="J132" s="55">
        <f>SUM(J131:J131)</f>
        <v>0</v>
      </c>
      <c r="K132" s="55">
        <f>SUM(K131:K131)</f>
        <v>0</v>
      </c>
    </row>
    <row r="133" spans="1:11" ht="13.15" x14ac:dyDescent="0.2">
      <c r="A133" s="77"/>
      <c r="B133" s="77"/>
      <c r="C133" s="77"/>
      <c r="D133" s="77"/>
      <c r="E133" s="77"/>
      <c r="F133" s="77"/>
      <c r="G133" s="77"/>
      <c r="H133" s="77"/>
      <c r="I133" s="81"/>
      <c r="J133" s="79"/>
      <c r="K133" s="79"/>
    </row>
    <row r="134" spans="1:11" ht="13.15" x14ac:dyDescent="0.25">
      <c r="A134" s="39" t="s">
        <v>536</v>
      </c>
      <c r="B134" s="23"/>
      <c r="C134" s="23"/>
      <c r="D134" s="23"/>
      <c r="E134" s="23"/>
      <c r="F134" s="23"/>
      <c r="G134" s="23"/>
      <c r="H134" s="23"/>
      <c r="I134" s="23"/>
      <c r="J134" s="23"/>
      <c r="K134" s="23"/>
    </row>
    <row r="135" spans="1:11" ht="13.15" hidden="1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</row>
    <row r="136" spans="1:11" ht="15.05" hidden="1" customHeight="1" x14ac:dyDescent="0.2">
      <c r="A136" s="286" t="s">
        <v>199</v>
      </c>
      <c r="B136" s="248" t="s">
        <v>11</v>
      </c>
      <c r="C136" s="261" t="s">
        <v>513</v>
      </c>
      <c r="D136" s="261"/>
      <c r="E136" s="261"/>
      <c r="F136" s="261" t="s">
        <v>512</v>
      </c>
      <c r="G136" s="261"/>
      <c r="H136" s="261"/>
      <c r="I136" s="261" t="s">
        <v>81</v>
      </c>
      <c r="J136" s="261"/>
      <c r="K136" s="261"/>
    </row>
    <row r="137" spans="1:11" ht="15.85" hidden="1" customHeight="1" x14ac:dyDescent="0.2">
      <c r="A137" s="287"/>
      <c r="B137" s="248"/>
      <c r="C137" s="101" t="s">
        <v>8</v>
      </c>
      <c r="D137" s="101" t="s">
        <v>9</v>
      </c>
      <c r="E137" s="101" t="s">
        <v>571</v>
      </c>
      <c r="F137" s="101" t="s">
        <v>8</v>
      </c>
      <c r="G137" s="101" t="s">
        <v>9</v>
      </c>
      <c r="H137" s="101" t="s">
        <v>571</v>
      </c>
      <c r="I137" s="101" t="s">
        <v>8</v>
      </c>
      <c r="J137" s="101" t="s">
        <v>9</v>
      </c>
      <c r="K137" s="101" t="s">
        <v>571</v>
      </c>
    </row>
    <row r="138" spans="1:11" ht="39.450000000000003" hidden="1" x14ac:dyDescent="0.2">
      <c r="A138" s="288"/>
      <c r="B138" s="248"/>
      <c r="C138" s="46" t="s">
        <v>82</v>
      </c>
      <c r="D138" s="46" t="s">
        <v>83</v>
      </c>
      <c r="E138" s="46" t="s">
        <v>84</v>
      </c>
      <c r="F138" s="46" t="s">
        <v>82</v>
      </c>
      <c r="G138" s="46" t="s">
        <v>83</v>
      </c>
      <c r="H138" s="46" t="s">
        <v>84</v>
      </c>
      <c r="I138" s="46" t="s">
        <v>82</v>
      </c>
      <c r="J138" s="46" t="s">
        <v>83</v>
      </c>
      <c r="K138" s="46" t="s">
        <v>84</v>
      </c>
    </row>
    <row r="139" spans="1:11" ht="13.15" hidden="1" x14ac:dyDescent="0.2">
      <c r="A139" s="47" t="s">
        <v>19</v>
      </c>
      <c r="B139" s="47" t="s">
        <v>20</v>
      </c>
      <c r="C139" s="47" t="s">
        <v>21</v>
      </c>
      <c r="D139" s="47" t="s">
        <v>22</v>
      </c>
      <c r="E139" s="47" t="s">
        <v>23</v>
      </c>
      <c r="F139" s="47" t="s">
        <v>24</v>
      </c>
      <c r="G139" s="47" t="s">
        <v>25</v>
      </c>
      <c r="H139" s="47" t="s">
        <v>26</v>
      </c>
      <c r="I139" s="47" t="s">
        <v>27</v>
      </c>
      <c r="J139" s="47" t="s">
        <v>28</v>
      </c>
      <c r="K139" s="47" t="s">
        <v>29</v>
      </c>
    </row>
    <row r="140" spans="1:11" ht="17.25" hidden="1" customHeight="1" x14ac:dyDescent="0.2">
      <c r="A140" s="15"/>
      <c r="B140" s="47" t="s">
        <v>31</v>
      </c>
      <c r="C140" s="75"/>
      <c r="D140" s="75">
        <f>C140</f>
        <v>0</v>
      </c>
      <c r="E140" s="75">
        <f>C140</f>
        <v>0</v>
      </c>
      <c r="F140" s="45"/>
      <c r="G140" s="45">
        <f>F140</f>
        <v>0</v>
      </c>
      <c r="H140" s="45">
        <f>F140</f>
        <v>0</v>
      </c>
      <c r="I140" s="45">
        <f>F140</f>
        <v>0</v>
      </c>
      <c r="J140" s="45">
        <f>I140</f>
        <v>0</v>
      </c>
      <c r="K140" s="45">
        <f>I140</f>
        <v>0</v>
      </c>
    </row>
    <row r="141" spans="1:11" ht="13.15" hidden="1" x14ac:dyDescent="0.2">
      <c r="A141" s="47" t="s">
        <v>121</v>
      </c>
      <c r="B141" s="67" t="s">
        <v>542</v>
      </c>
      <c r="C141" s="47" t="s">
        <v>1</v>
      </c>
      <c r="D141" s="47" t="s">
        <v>1</v>
      </c>
      <c r="E141" s="47" t="s">
        <v>1</v>
      </c>
      <c r="F141" s="47" t="s">
        <v>1</v>
      </c>
      <c r="G141" s="47" t="s">
        <v>1</v>
      </c>
      <c r="H141" s="47" t="s">
        <v>1</v>
      </c>
      <c r="I141" s="55">
        <f>SUM(I140:I140)</f>
        <v>0</v>
      </c>
      <c r="J141" s="55">
        <f>SUM(J140:J140)</f>
        <v>0</v>
      </c>
      <c r="K141" s="55">
        <f>SUM(K140:K140)</f>
        <v>0</v>
      </c>
    </row>
    <row r="142" spans="1:11" ht="13.15" x14ac:dyDescent="0.2">
      <c r="A142" s="77"/>
      <c r="B142" s="77"/>
      <c r="C142" s="77"/>
      <c r="D142" s="77"/>
      <c r="E142" s="77"/>
      <c r="F142" s="77"/>
      <c r="G142" s="77"/>
      <c r="H142" s="77"/>
      <c r="I142" s="79"/>
      <c r="J142" s="79"/>
      <c r="K142" s="79"/>
    </row>
    <row r="143" spans="1:11" ht="13.15" x14ac:dyDescent="0.25">
      <c r="A143" s="39" t="s">
        <v>515</v>
      </c>
      <c r="B143" s="23"/>
      <c r="C143" s="23"/>
      <c r="D143" s="23"/>
      <c r="E143" s="23"/>
      <c r="F143" s="23"/>
      <c r="G143" s="23"/>
      <c r="H143" s="23"/>
      <c r="I143" s="23"/>
      <c r="J143" s="23"/>
      <c r="K143" s="23"/>
    </row>
    <row r="144" spans="1:11" ht="13.15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</row>
    <row r="145" spans="1:11" ht="14.25" customHeight="1" x14ac:dyDescent="0.2">
      <c r="A145" s="286" t="s">
        <v>199</v>
      </c>
      <c r="B145" s="248" t="s">
        <v>11</v>
      </c>
      <c r="C145" s="261" t="s">
        <v>513</v>
      </c>
      <c r="D145" s="261"/>
      <c r="E145" s="261"/>
      <c r="F145" s="261" t="s">
        <v>512</v>
      </c>
      <c r="G145" s="261"/>
      <c r="H145" s="261"/>
      <c r="I145" s="261" t="s">
        <v>81</v>
      </c>
      <c r="J145" s="261"/>
      <c r="K145" s="261"/>
    </row>
    <row r="146" spans="1:11" ht="14.25" customHeight="1" x14ac:dyDescent="0.2">
      <c r="A146" s="287"/>
      <c r="B146" s="248"/>
      <c r="C146" s="150" t="s">
        <v>9</v>
      </c>
      <c r="D146" s="150" t="s">
        <v>571</v>
      </c>
      <c r="E146" s="150" t="s">
        <v>630</v>
      </c>
      <c r="F146" s="150" t="s">
        <v>9</v>
      </c>
      <c r="G146" s="150" t="s">
        <v>571</v>
      </c>
      <c r="H146" s="150" t="s">
        <v>630</v>
      </c>
      <c r="I146" s="150" t="s">
        <v>9</v>
      </c>
      <c r="J146" s="150" t="s">
        <v>571</v>
      </c>
      <c r="K146" s="150" t="s">
        <v>630</v>
      </c>
    </row>
    <row r="147" spans="1:11" ht="39.799999999999997" customHeight="1" x14ac:dyDescent="0.2">
      <c r="A147" s="288"/>
      <c r="B147" s="248"/>
      <c r="C147" s="46" t="s">
        <v>82</v>
      </c>
      <c r="D147" s="46" t="s">
        <v>83</v>
      </c>
      <c r="E147" s="46" t="s">
        <v>84</v>
      </c>
      <c r="F147" s="46" t="s">
        <v>82</v>
      </c>
      <c r="G147" s="46" t="s">
        <v>83</v>
      </c>
      <c r="H147" s="46" t="s">
        <v>84</v>
      </c>
      <c r="I147" s="46" t="s">
        <v>82</v>
      </c>
      <c r="J147" s="46" t="s">
        <v>83</v>
      </c>
      <c r="K147" s="46" t="s">
        <v>84</v>
      </c>
    </row>
    <row r="148" spans="1:11" ht="13.15" x14ac:dyDescent="0.2">
      <c r="A148" s="47" t="s">
        <v>19</v>
      </c>
      <c r="B148" s="47" t="s">
        <v>20</v>
      </c>
      <c r="C148" s="47" t="s">
        <v>21</v>
      </c>
      <c r="D148" s="47" t="s">
        <v>22</v>
      </c>
      <c r="E148" s="47" t="s">
        <v>23</v>
      </c>
      <c r="F148" s="47" t="s">
        <v>24</v>
      </c>
      <c r="G148" s="47" t="s">
        <v>25</v>
      </c>
      <c r="H148" s="47" t="s">
        <v>26</v>
      </c>
      <c r="I148" s="47" t="s">
        <v>27</v>
      </c>
      <c r="J148" s="47" t="s">
        <v>28</v>
      </c>
      <c r="K148" s="47" t="s">
        <v>29</v>
      </c>
    </row>
    <row r="149" spans="1:11" ht="15.85" customHeight="1" x14ac:dyDescent="0.2">
      <c r="A149" s="15" t="s">
        <v>517</v>
      </c>
      <c r="B149" s="47" t="s">
        <v>31</v>
      </c>
      <c r="C149" s="75">
        <v>1</v>
      </c>
      <c r="D149" s="75">
        <f>C149</f>
        <v>1</v>
      </c>
      <c r="E149" s="75">
        <f>C149</f>
        <v>1</v>
      </c>
      <c r="F149" s="45">
        <v>223450</v>
      </c>
      <c r="G149" s="45">
        <f>F149</f>
        <v>223450</v>
      </c>
      <c r="H149" s="45">
        <f>F149</f>
        <v>223450</v>
      </c>
      <c r="I149" s="45">
        <f>F149</f>
        <v>223450</v>
      </c>
      <c r="J149" s="45">
        <f>I149</f>
        <v>223450</v>
      </c>
      <c r="K149" s="45">
        <f>I149</f>
        <v>223450</v>
      </c>
    </row>
    <row r="150" spans="1:11" ht="13.15" x14ac:dyDescent="0.2">
      <c r="A150" s="47" t="s">
        <v>121</v>
      </c>
      <c r="B150" s="67" t="s">
        <v>543</v>
      </c>
      <c r="C150" s="47" t="s">
        <v>1</v>
      </c>
      <c r="D150" s="47" t="s">
        <v>1</v>
      </c>
      <c r="E150" s="47" t="s">
        <v>1</v>
      </c>
      <c r="F150" s="47" t="s">
        <v>1</v>
      </c>
      <c r="G150" s="47" t="s">
        <v>1</v>
      </c>
      <c r="H150" s="47" t="s">
        <v>1</v>
      </c>
      <c r="I150" s="55">
        <f>SUM(I149:I149)</f>
        <v>223450</v>
      </c>
      <c r="J150" s="55">
        <f>SUM(J149:J149)</f>
        <v>223450</v>
      </c>
      <c r="K150" s="55">
        <f>SUM(K149:K149)</f>
        <v>223450</v>
      </c>
    </row>
    <row r="151" spans="1:11" ht="13.15" x14ac:dyDescent="0.2">
      <c r="A151" s="77"/>
      <c r="B151" s="77"/>
      <c r="C151" s="77"/>
      <c r="D151" s="77"/>
      <c r="E151" s="77"/>
      <c r="F151" s="77"/>
      <c r="G151" s="77"/>
      <c r="H151" s="77"/>
      <c r="I151" s="79"/>
      <c r="J151" s="79"/>
      <c r="K151" s="79"/>
    </row>
    <row r="152" spans="1:11" ht="13.15" x14ac:dyDescent="0.25">
      <c r="A152" s="39" t="s">
        <v>518</v>
      </c>
      <c r="B152" s="23"/>
      <c r="C152" s="23"/>
      <c r="D152" s="23"/>
      <c r="E152" s="23"/>
      <c r="F152" s="23"/>
      <c r="G152" s="23"/>
      <c r="H152" s="23"/>
      <c r="I152" s="23"/>
      <c r="J152" s="23"/>
      <c r="K152" s="23"/>
    </row>
    <row r="153" spans="1:11" ht="13.15" hidden="1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</row>
    <row r="154" spans="1:11" ht="16.45" hidden="1" customHeight="1" x14ac:dyDescent="0.2">
      <c r="A154" s="286" t="s">
        <v>199</v>
      </c>
      <c r="B154" s="248" t="s">
        <v>11</v>
      </c>
      <c r="C154" s="261" t="s">
        <v>513</v>
      </c>
      <c r="D154" s="261"/>
      <c r="E154" s="261"/>
      <c r="F154" s="261" t="s">
        <v>512</v>
      </c>
      <c r="G154" s="261"/>
      <c r="H154" s="261"/>
      <c r="I154" s="261" t="s">
        <v>81</v>
      </c>
      <c r="J154" s="261"/>
      <c r="K154" s="261"/>
    </row>
    <row r="155" spans="1:11" ht="14.25" hidden="1" customHeight="1" x14ac:dyDescent="0.2">
      <c r="A155" s="287"/>
      <c r="B155" s="248"/>
      <c r="C155" s="101" t="s">
        <v>8</v>
      </c>
      <c r="D155" s="101" t="s">
        <v>9</v>
      </c>
      <c r="E155" s="101" t="s">
        <v>571</v>
      </c>
      <c r="F155" s="101" t="s">
        <v>8</v>
      </c>
      <c r="G155" s="101" t="s">
        <v>9</v>
      </c>
      <c r="H155" s="101" t="s">
        <v>571</v>
      </c>
      <c r="I155" s="101" t="s">
        <v>8</v>
      </c>
      <c r="J155" s="101" t="s">
        <v>9</v>
      </c>
      <c r="K155" s="101" t="s">
        <v>571</v>
      </c>
    </row>
    <row r="156" spans="1:11" ht="39.450000000000003" hidden="1" x14ac:dyDescent="0.2">
      <c r="A156" s="288"/>
      <c r="B156" s="248"/>
      <c r="C156" s="46" t="s">
        <v>82</v>
      </c>
      <c r="D156" s="46" t="s">
        <v>83</v>
      </c>
      <c r="E156" s="46" t="s">
        <v>84</v>
      </c>
      <c r="F156" s="46" t="s">
        <v>82</v>
      </c>
      <c r="G156" s="46" t="s">
        <v>83</v>
      </c>
      <c r="H156" s="46" t="s">
        <v>84</v>
      </c>
      <c r="I156" s="46" t="s">
        <v>82</v>
      </c>
      <c r="J156" s="46" t="s">
        <v>83</v>
      </c>
      <c r="K156" s="46" t="s">
        <v>84</v>
      </c>
    </row>
    <row r="157" spans="1:11" ht="13.15" hidden="1" x14ac:dyDescent="0.2">
      <c r="A157" s="47" t="s">
        <v>19</v>
      </c>
      <c r="B157" s="47" t="s">
        <v>20</v>
      </c>
      <c r="C157" s="47" t="s">
        <v>21</v>
      </c>
      <c r="D157" s="47" t="s">
        <v>22</v>
      </c>
      <c r="E157" s="47" t="s">
        <v>23</v>
      </c>
      <c r="F157" s="47" t="s">
        <v>24</v>
      </c>
      <c r="G157" s="47" t="s">
        <v>25</v>
      </c>
      <c r="H157" s="47" t="s">
        <v>26</v>
      </c>
      <c r="I157" s="47" t="s">
        <v>27</v>
      </c>
      <c r="J157" s="47" t="s">
        <v>28</v>
      </c>
      <c r="K157" s="47" t="s">
        <v>29</v>
      </c>
    </row>
    <row r="158" spans="1:11" ht="16.45" hidden="1" customHeight="1" x14ac:dyDescent="0.2">
      <c r="A158" s="15"/>
      <c r="B158" s="47" t="s">
        <v>31</v>
      </c>
      <c r="C158" s="75"/>
      <c r="D158" s="75">
        <f>C158</f>
        <v>0</v>
      </c>
      <c r="E158" s="75">
        <f>C158</f>
        <v>0</v>
      </c>
      <c r="F158" s="45"/>
      <c r="G158" s="45">
        <f>F158</f>
        <v>0</v>
      </c>
      <c r="H158" s="45">
        <f>F158</f>
        <v>0</v>
      </c>
      <c r="I158" s="45">
        <f>F158</f>
        <v>0</v>
      </c>
      <c r="J158" s="45">
        <f>I158</f>
        <v>0</v>
      </c>
      <c r="K158" s="45">
        <f>I158</f>
        <v>0</v>
      </c>
    </row>
    <row r="159" spans="1:11" ht="13.15" hidden="1" x14ac:dyDescent="0.2">
      <c r="A159" s="47" t="s">
        <v>121</v>
      </c>
      <c r="B159" s="67" t="s">
        <v>544</v>
      </c>
      <c r="C159" s="47" t="s">
        <v>1</v>
      </c>
      <c r="D159" s="47" t="s">
        <v>1</v>
      </c>
      <c r="E159" s="47" t="s">
        <v>1</v>
      </c>
      <c r="F159" s="47" t="s">
        <v>1</v>
      </c>
      <c r="G159" s="47" t="s">
        <v>1</v>
      </c>
      <c r="H159" s="47" t="s">
        <v>1</v>
      </c>
      <c r="I159" s="55">
        <f>SUM(I158:I158)</f>
        <v>0</v>
      </c>
      <c r="J159" s="55">
        <f>SUM(J158:J158)</f>
        <v>0</v>
      </c>
      <c r="K159" s="55">
        <f>SUM(K158:K158)</f>
        <v>0</v>
      </c>
    </row>
    <row r="160" spans="1:11" ht="13.15" x14ac:dyDescent="0.2">
      <c r="A160" s="77"/>
      <c r="B160" s="77"/>
      <c r="C160" s="77"/>
      <c r="D160" s="77"/>
      <c r="E160" s="77"/>
      <c r="F160" s="77"/>
      <c r="G160" s="77"/>
      <c r="H160" s="77"/>
      <c r="I160" s="79"/>
      <c r="J160" s="79"/>
      <c r="K160" s="79"/>
    </row>
    <row r="161" spans="1:13" ht="13.15" x14ac:dyDescent="0.25">
      <c r="A161" s="39" t="s">
        <v>519</v>
      </c>
      <c r="B161" s="23"/>
      <c r="C161" s="23"/>
      <c r="D161" s="23"/>
      <c r="E161" s="23"/>
      <c r="F161" s="23"/>
      <c r="G161" s="23"/>
      <c r="H161" s="23"/>
      <c r="I161" s="23"/>
      <c r="J161" s="23"/>
      <c r="K161" s="23"/>
    </row>
    <row r="162" spans="1:13" ht="13.15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</row>
    <row r="163" spans="1:13" ht="14.25" customHeight="1" x14ac:dyDescent="0.2">
      <c r="A163" s="286" t="s">
        <v>199</v>
      </c>
      <c r="B163" s="248" t="s">
        <v>11</v>
      </c>
      <c r="C163" s="261" t="s">
        <v>513</v>
      </c>
      <c r="D163" s="261"/>
      <c r="E163" s="261"/>
      <c r="F163" s="261" t="s">
        <v>512</v>
      </c>
      <c r="G163" s="261"/>
      <c r="H163" s="261"/>
      <c r="I163" s="261" t="s">
        <v>81</v>
      </c>
      <c r="J163" s="261"/>
      <c r="K163" s="261"/>
    </row>
    <row r="164" spans="1:13" ht="14.25" customHeight="1" x14ac:dyDescent="0.2">
      <c r="A164" s="287"/>
      <c r="B164" s="248"/>
      <c r="C164" s="150" t="s">
        <v>9</v>
      </c>
      <c r="D164" s="150" t="s">
        <v>571</v>
      </c>
      <c r="E164" s="150" t="s">
        <v>630</v>
      </c>
      <c r="F164" s="150" t="s">
        <v>9</v>
      </c>
      <c r="G164" s="150" t="s">
        <v>571</v>
      </c>
      <c r="H164" s="150" t="s">
        <v>630</v>
      </c>
      <c r="I164" s="150" t="s">
        <v>9</v>
      </c>
      <c r="J164" s="150" t="s">
        <v>571</v>
      </c>
      <c r="K164" s="150" t="s">
        <v>630</v>
      </c>
    </row>
    <row r="165" spans="1:13" ht="39.799999999999997" customHeight="1" x14ac:dyDescent="0.2">
      <c r="A165" s="288"/>
      <c r="B165" s="248"/>
      <c r="C165" s="46" t="s">
        <v>82</v>
      </c>
      <c r="D165" s="46" t="s">
        <v>83</v>
      </c>
      <c r="E165" s="46" t="s">
        <v>84</v>
      </c>
      <c r="F165" s="46" t="s">
        <v>82</v>
      </c>
      <c r="G165" s="46" t="s">
        <v>83</v>
      </c>
      <c r="H165" s="46" t="s">
        <v>84</v>
      </c>
      <c r="I165" s="46" t="s">
        <v>82</v>
      </c>
      <c r="J165" s="46" t="s">
        <v>83</v>
      </c>
      <c r="K165" s="46" t="s">
        <v>84</v>
      </c>
    </row>
    <row r="166" spans="1:13" ht="13.15" x14ac:dyDescent="0.2">
      <c r="A166" s="47" t="s">
        <v>19</v>
      </c>
      <c r="B166" s="47" t="s">
        <v>20</v>
      </c>
      <c r="C166" s="47" t="s">
        <v>21</v>
      </c>
      <c r="D166" s="47" t="s">
        <v>22</v>
      </c>
      <c r="E166" s="47" t="s">
        <v>23</v>
      </c>
      <c r="F166" s="47" t="s">
        <v>24</v>
      </c>
      <c r="G166" s="47" t="s">
        <v>25</v>
      </c>
      <c r="H166" s="47" t="s">
        <v>26</v>
      </c>
      <c r="I166" s="47" t="s">
        <v>27</v>
      </c>
      <c r="J166" s="47" t="s">
        <v>28</v>
      </c>
      <c r="K166" s="47" t="s">
        <v>29</v>
      </c>
    </row>
    <row r="167" spans="1:13" ht="65.3" customHeight="1" x14ac:dyDescent="0.2">
      <c r="A167" s="15" t="s">
        <v>520</v>
      </c>
      <c r="B167" s="47" t="s">
        <v>31</v>
      </c>
      <c r="C167" s="75">
        <v>1</v>
      </c>
      <c r="D167" s="75">
        <f>C167</f>
        <v>1</v>
      </c>
      <c r="E167" s="75">
        <f>C167</f>
        <v>1</v>
      </c>
      <c r="F167" s="45">
        <v>56200</v>
      </c>
      <c r="G167" s="45">
        <f>F167</f>
        <v>56200</v>
      </c>
      <c r="H167" s="45">
        <f>F167</f>
        <v>56200</v>
      </c>
      <c r="I167" s="45">
        <f>F167</f>
        <v>56200</v>
      </c>
      <c r="J167" s="45">
        <f>I167</f>
        <v>56200</v>
      </c>
      <c r="K167" s="45">
        <f>I167</f>
        <v>56200</v>
      </c>
    </row>
    <row r="168" spans="1:13" ht="13.15" x14ac:dyDescent="0.2">
      <c r="A168" s="47" t="s">
        <v>121</v>
      </c>
      <c r="B168" s="67" t="s">
        <v>545</v>
      </c>
      <c r="C168" s="47" t="s">
        <v>1</v>
      </c>
      <c r="D168" s="47" t="s">
        <v>1</v>
      </c>
      <c r="E168" s="47" t="s">
        <v>1</v>
      </c>
      <c r="F168" s="47" t="s">
        <v>1</v>
      </c>
      <c r="G168" s="47" t="s">
        <v>1</v>
      </c>
      <c r="H168" s="47" t="s">
        <v>1</v>
      </c>
      <c r="I168" s="55">
        <f>SUM(I167:I167)</f>
        <v>56200</v>
      </c>
      <c r="J168" s="55">
        <f>SUM(J167:J167)</f>
        <v>56200</v>
      </c>
      <c r="K168" s="55">
        <f>SUM(K167:K167)</f>
        <v>56200</v>
      </c>
    </row>
    <row r="169" spans="1:13" ht="13.15" x14ac:dyDescent="0.2">
      <c r="A169" s="77"/>
      <c r="B169" s="77"/>
      <c r="C169" s="77"/>
      <c r="D169" s="77"/>
      <c r="E169" s="77"/>
      <c r="F169" s="77"/>
      <c r="G169" s="77"/>
      <c r="H169" s="77"/>
      <c r="I169" s="79"/>
      <c r="J169" s="79"/>
      <c r="K169" s="79"/>
    </row>
    <row r="170" spans="1:13" ht="13.15" x14ac:dyDescent="0.25">
      <c r="A170" s="39" t="s">
        <v>521</v>
      </c>
      <c r="B170" s="23"/>
      <c r="C170" s="23"/>
      <c r="D170" s="23"/>
      <c r="E170" s="23"/>
      <c r="F170" s="23"/>
      <c r="G170" s="23"/>
      <c r="H170" s="23"/>
      <c r="I170" s="23"/>
      <c r="J170" s="23"/>
      <c r="K170" s="23"/>
    </row>
    <row r="171" spans="1:13" ht="13.15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</row>
    <row r="172" spans="1:13" ht="15.05" customHeight="1" x14ac:dyDescent="0.2">
      <c r="A172" s="286" t="s">
        <v>199</v>
      </c>
      <c r="B172" s="248" t="s">
        <v>11</v>
      </c>
      <c r="C172" s="261" t="s">
        <v>513</v>
      </c>
      <c r="D172" s="261"/>
      <c r="E172" s="261"/>
      <c r="F172" s="261" t="s">
        <v>512</v>
      </c>
      <c r="G172" s="261"/>
      <c r="H172" s="261"/>
      <c r="I172" s="261" t="s">
        <v>81</v>
      </c>
      <c r="J172" s="261"/>
      <c r="K172" s="261"/>
      <c r="L172" s="295"/>
      <c r="M172" s="289"/>
    </row>
    <row r="173" spans="1:13" ht="15.05" customHeight="1" x14ac:dyDescent="0.2">
      <c r="A173" s="287"/>
      <c r="B173" s="248"/>
      <c r="C173" s="150" t="s">
        <v>9</v>
      </c>
      <c r="D173" s="150" t="s">
        <v>571</v>
      </c>
      <c r="E173" s="150" t="s">
        <v>630</v>
      </c>
      <c r="F173" s="150" t="s">
        <v>9</v>
      </c>
      <c r="G173" s="150" t="s">
        <v>571</v>
      </c>
      <c r="H173" s="150" t="s">
        <v>630</v>
      </c>
      <c r="I173" s="150" t="s">
        <v>9</v>
      </c>
      <c r="J173" s="150" t="s">
        <v>571</v>
      </c>
      <c r="K173" s="150" t="s">
        <v>630</v>
      </c>
      <c r="L173" s="295"/>
      <c r="M173" s="289"/>
    </row>
    <row r="174" spans="1:13" ht="38.200000000000003" customHeight="1" x14ac:dyDescent="0.2">
      <c r="A174" s="288"/>
      <c r="B174" s="248"/>
      <c r="C174" s="46" t="s">
        <v>82</v>
      </c>
      <c r="D174" s="46" t="s">
        <v>83</v>
      </c>
      <c r="E174" s="46" t="s">
        <v>84</v>
      </c>
      <c r="F174" s="46" t="s">
        <v>82</v>
      </c>
      <c r="G174" s="46" t="s">
        <v>83</v>
      </c>
      <c r="H174" s="46" t="s">
        <v>84</v>
      </c>
      <c r="I174" s="46" t="s">
        <v>82</v>
      </c>
      <c r="J174" s="46" t="s">
        <v>83</v>
      </c>
      <c r="K174" s="46" t="s">
        <v>84</v>
      </c>
      <c r="L174" s="295"/>
      <c r="M174" s="289"/>
    </row>
    <row r="175" spans="1:13" ht="13.15" x14ac:dyDescent="0.25">
      <c r="A175" s="47" t="s">
        <v>19</v>
      </c>
      <c r="B175" s="47" t="s">
        <v>20</v>
      </c>
      <c r="C175" s="47" t="s">
        <v>21</v>
      </c>
      <c r="D175" s="47" t="s">
        <v>22</v>
      </c>
      <c r="E175" s="47" t="s">
        <v>23</v>
      </c>
      <c r="F175" s="47" t="s">
        <v>24</v>
      </c>
      <c r="G175" s="47" t="s">
        <v>25</v>
      </c>
      <c r="H175" s="47" t="s">
        <v>26</v>
      </c>
      <c r="I175" s="47" t="s">
        <v>27</v>
      </c>
      <c r="J175" s="47" t="s">
        <v>28</v>
      </c>
      <c r="K175" s="47" t="s">
        <v>29</v>
      </c>
      <c r="L175" s="83"/>
      <c r="M175" s="104"/>
    </row>
    <row r="176" spans="1:13" ht="15.05" customHeight="1" x14ac:dyDescent="0.2">
      <c r="A176" s="15" t="s">
        <v>522</v>
      </c>
      <c r="B176" s="47" t="s">
        <v>31</v>
      </c>
      <c r="C176" s="47">
        <v>1</v>
      </c>
      <c r="D176" s="47">
        <f>C176</f>
        <v>1</v>
      </c>
      <c r="E176" s="47">
        <f>C176</f>
        <v>1</v>
      </c>
      <c r="F176" s="45">
        <v>569734</v>
      </c>
      <c r="G176" s="45">
        <f>F176</f>
        <v>569734</v>
      </c>
      <c r="H176" s="45">
        <f>F176</f>
        <v>569734</v>
      </c>
      <c r="I176" s="45">
        <f>F176</f>
        <v>569734</v>
      </c>
      <c r="J176" s="45">
        <f>I176</f>
        <v>569734</v>
      </c>
      <c r="K176" s="45">
        <f>I176</f>
        <v>569734</v>
      </c>
      <c r="L176" s="84"/>
      <c r="M176" s="105"/>
    </row>
    <row r="177" spans="1:13" ht="28.5" customHeight="1" x14ac:dyDescent="0.2">
      <c r="A177" s="15" t="s">
        <v>670</v>
      </c>
      <c r="B177" s="175" t="s">
        <v>33</v>
      </c>
      <c r="C177" s="175">
        <v>1</v>
      </c>
      <c r="D177" s="175">
        <v>1</v>
      </c>
      <c r="E177" s="175">
        <v>1</v>
      </c>
      <c r="F177" s="174">
        <f>150000-6000</f>
        <v>144000</v>
      </c>
      <c r="G177" s="174">
        <v>150000</v>
      </c>
      <c r="H177" s="174">
        <v>150000</v>
      </c>
      <c r="I177" s="174">
        <f>F177</f>
        <v>144000</v>
      </c>
      <c r="J177" s="174">
        <v>150000</v>
      </c>
      <c r="K177" s="174">
        <v>150000</v>
      </c>
      <c r="L177" s="84"/>
      <c r="M177" s="105"/>
    </row>
    <row r="178" spans="1:13" ht="15.05" customHeight="1" x14ac:dyDescent="0.2">
      <c r="A178" s="15" t="s">
        <v>523</v>
      </c>
      <c r="B178" s="175" t="s">
        <v>380</v>
      </c>
      <c r="C178" s="175">
        <v>1</v>
      </c>
      <c r="D178" s="175">
        <v>1</v>
      </c>
      <c r="E178" s="175">
        <v>1</v>
      </c>
      <c r="F178" s="174">
        <v>50000</v>
      </c>
      <c r="G178" s="174">
        <v>50000</v>
      </c>
      <c r="H178" s="174">
        <v>50000</v>
      </c>
      <c r="I178" s="174">
        <f t="shared" ref="I178:I181" si="30">F178</f>
        <v>50000</v>
      </c>
      <c r="J178" s="174">
        <f t="shared" ref="J178:K180" si="31">G178</f>
        <v>50000</v>
      </c>
      <c r="K178" s="174">
        <f t="shared" si="31"/>
        <v>50000</v>
      </c>
      <c r="L178" s="84"/>
      <c r="M178" s="105"/>
    </row>
    <row r="179" spans="1:13" ht="28.5" customHeight="1" x14ac:dyDescent="0.2">
      <c r="A179" s="15" t="s">
        <v>671</v>
      </c>
      <c r="B179" s="175" t="s">
        <v>428</v>
      </c>
      <c r="C179" s="175">
        <v>1</v>
      </c>
      <c r="D179" s="175">
        <v>1</v>
      </c>
      <c r="E179" s="175">
        <v>1</v>
      </c>
      <c r="F179" s="174">
        <v>30000</v>
      </c>
      <c r="G179" s="174">
        <v>30000</v>
      </c>
      <c r="H179" s="174">
        <v>30000</v>
      </c>
      <c r="I179" s="174">
        <f t="shared" si="30"/>
        <v>30000</v>
      </c>
      <c r="J179" s="174">
        <f t="shared" si="31"/>
        <v>30000</v>
      </c>
      <c r="K179" s="174">
        <f t="shared" si="31"/>
        <v>30000</v>
      </c>
      <c r="L179" s="84"/>
      <c r="M179" s="105"/>
    </row>
    <row r="180" spans="1:13" ht="18" customHeight="1" x14ac:dyDescent="0.2">
      <c r="A180" s="15" t="s">
        <v>524</v>
      </c>
      <c r="B180" s="175" t="s">
        <v>427</v>
      </c>
      <c r="C180" s="175">
        <v>1</v>
      </c>
      <c r="D180" s="175">
        <v>1</v>
      </c>
      <c r="E180" s="175">
        <v>1</v>
      </c>
      <c r="F180" s="174">
        <v>30000</v>
      </c>
      <c r="G180" s="174">
        <v>30000</v>
      </c>
      <c r="H180" s="174">
        <v>30000</v>
      </c>
      <c r="I180" s="174">
        <f t="shared" si="30"/>
        <v>30000</v>
      </c>
      <c r="J180" s="174">
        <f t="shared" si="31"/>
        <v>30000</v>
      </c>
      <c r="K180" s="174">
        <f t="shared" si="31"/>
        <v>30000</v>
      </c>
      <c r="L180" s="84"/>
      <c r="M180" s="105"/>
    </row>
    <row r="181" spans="1:13" ht="28.5" customHeight="1" x14ac:dyDescent="0.2">
      <c r="A181" s="15" t="s">
        <v>537</v>
      </c>
      <c r="B181" s="175" t="s">
        <v>429</v>
      </c>
      <c r="C181" s="47">
        <v>1</v>
      </c>
      <c r="D181" s="47">
        <f t="shared" ref="D181" si="32">C181</f>
        <v>1</v>
      </c>
      <c r="E181" s="47">
        <f t="shared" ref="E181" si="33">C181</f>
        <v>1</v>
      </c>
      <c r="F181" s="45">
        <v>94078</v>
      </c>
      <c r="G181" s="45">
        <f t="shared" ref="G181" si="34">F181</f>
        <v>94078</v>
      </c>
      <c r="H181" s="45">
        <f t="shared" ref="H181" si="35">F181</f>
        <v>94078</v>
      </c>
      <c r="I181" s="174">
        <f t="shared" si="30"/>
        <v>94078</v>
      </c>
      <c r="J181" s="45">
        <f t="shared" ref="J181" si="36">I181</f>
        <v>94078</v>
      </c>
      <c r="K181" s="45">
        <f t="shared" ref="K181" si="37">I181</f>
        <v>94078</v>
      </c>
      <c r="L181" s="84"/>
      <c r="M181" s="105"/>
    </row>
    <row r="182" spans="1:13" ht="13.15" x14ac:dyDescent="0.2">
      <c r="A182" s="47" t="s">
        <v>121</v>
      </c>
      <c r="B182" s="67" t="s">
        <v>546</v>
      </c>
      <c r="C182" s="47" t="s">
        <v>1</v>
      </c>
      <c r="D182" s="47" t="s">
        <v>1</v>
      </c>
      <c r="E182" s="47" t="s">
        <v>1</v>
      </c>
      <c r="F182" s="47" t="s">
        <v>1</v>
      </c>
      <c r="G182" s="47" t="s">
        <v>1</v>
      </c>
      <c r="H182" s="47" t="s">
        <v>1</v>
      </c>
      <c r="I182" s="55">
        <f>SUM(I176:I181)</f>
        <v>917812</v>
      </c>
      <c r="J182" s="55">
        <f>SUM(J176:J181)</f>
        <v>923812</v>
      </c>
      <c r="K182" s="55">
        <f>SUM(K176:K181)</f>
        <v>923812</v>
      </c>
      <c r="L182" s="85"/>
      <c r="M182" s="86"/>
    </row>
    <row r="183" spans="1:13" ht="13.15" x14ac:dyDescent="0.2">
      <c r="A183" s="77"/>
      <c r="B183" s="77"/>
      <c r="C183" s="77"/>
      <c r="D183" s="77"/>
      <c r="E183" s="77"/>
      <c r="F183" s="77"/>
      <c r="G183" s="77"/>
      <c r="H183" s="77"/>
      <c r="I183" s="79"/>
      <c r="J183" s="79"/>
      <c r="K183" s="79"/>
      <c r="L183" s="87"/>
      <c r="M183" s="87"/>
    </row>
    <row r="184" spans="1:13" ht="13.15" x14ac:dyDescent="0.25">
      <c r="A184" s="39" t="s">
        <v>525</v>
      </c>
      <c r="B184" s="23"/>
      <c r="C184" s="23"/>
      <c r="D184" s="23"/>
      <c r="E184" s="23"/>
      <c r="F184" s="23"/>
      <c r="G184" s="23"/>
      <c r="H184" s="23"/>
      <c r="I184" s="23"/>
      <c r="J184" s="23"/>
      <c r="K184" s="23"/>
    </row>
    <row r="185" spans="1:13" ht="13.15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</row>
    <row r="186" spans="1:13" ht="12.7" customHeight="1" x14ac:dyDescent="0.2">
      <c r="A186" s="286" t="s">
        <v>199</v>
      </c>
      <c r="B186" s="248" t="s">
        <v>11</v>
      </c>
      <c r="C186" s="261" t="s">
        <v>513</v>
      </c>
      <c r="D186" s="261"/>
      <c r="E186" s="261"/>
      <c r="F186" s="261" t="s">
        <v>512</v>
      </c>
      <c r="G186" s="261"/>
      <c r="H186" s="261"/>
      <c r="I186" s="261" t="s">
        <v>81</v>
      </c>
      <c r="J186" s="261"/>
      <c r="K186" s="261"/>
    </row>
    <row r="187" spans="1:13" ht="17.25" customHeight="1" x14ac:dyDescent="0.2">
      <c r="A187" s="287"/>
      <c r="B187" s="248"/>
      <c r="C187" s="150" t="s">
        <v>9</v>
      </c>
      <c r="D187" s="150" t="s">
        <v>571</v>
      </c>
      <c r="E187" s="150" t="s">
        <v>630</v>
      </c>
      <c r="F187" s="150" t="s">
        <v>9</v>
      </c>
      <c r="G187" s="150" t="s">
        <v>571</v>
      </c>
      <c r="H187" s="150" t="s">
        <v>630</v>
      </c>
      <c r="I187" s="150" t="s">
        <v>9</v>
      </c>
      <c r="J187" s="150" t="s">
        <v>571</v>
      </c>
      <c r="K187" s="150" t="s">
        <v>630</v>
      </c>
    </row>
    <row r="188" spans="1:13" ht="40.549999999999997" customHeight="1" x14ac:dyDescent="0.2">
      <c r="A188" s="288"/>
      <c r="B188" s="248"/>
      <c r="C188" s="46" t="s">
        <v>82</v>
      </c>
      <c r="D188" s="46" t="s">
        <v>83</v>
      </c>
      <c r="E188" s="46" t="s">
        <v>84</v>
      </c>
      <c r="F188" s="46" t="s">
        <v>82</v>
      </c>
      <c r="G188" s="46" t="s">
        <v>83</v>
      </c>
      <c r="H188" s="46" t="s">
        <v>84</v>
      </c>
      <c r="I188" s="46" t="s">
        <v>82</v>
      </c>
      <c r="J188" s="46" t="s">
        <v>83</v>
      </c>
      <c r="K188" s="46" t="s">
        <v>84</v>
      </c>
    </row>
    <row r="189" spans="1:13" ht="13.15" x14ac:dyDescent="0.2">
      <c r="A189" s="47" t="s">
        <v>19</v>
      </c>
      <c r="B189" s="47" t="s">
        <v>20</v>
      </c>
      <c r="C189" s="47" t="s">
        <v>21</v>
      </c>
      <c r="D189" s="47" t="s">
        <v>22</v>
      </c>
      <c r="E189" s="47" t="s">
        <v>23</v>
      </c>
      <c r="F189" s="47" t="s">
        <v>24</v>
      </c>
      <c r="G189" s="47" t="s">
        <v>25</v>
      </c>
      <c r="H189" s="47" t="s">
        <v>26</v>
      </c>
      <c r="I189" s="47" t="s">
        <v>27</v>
      </c>
      <c r="J189" s="47" t="s">
        <v>28</v>
      </c>
      <c r="K189" s="47" t="s">
        <v>29</v>
      </c>
    </row>
    <row r="190" spans="1:13" ht="19.600000000000001" customHeight="1" x14ac:dyDescent="0.2">
      <c r="A190" s="15" t="s">
        <v>538</v>
      </c>
      <c r="B190" s="47" t="s">
        <v>31</v>
      </c>
      <c r="C190" s="75">
        <v>1</v>
      </c>
      <c r="D190" s="75">
        <f>C190</f>
        <v>1</v>
      </c>
      <c r="E190" s="75">
        <f>C190</f>
        <v>1</v>
      </c>
      <c r="F190" s="45">
        <v>50000</v>
      </c>
      <c r="G190" s="45">
        <f>F190</f>
        <v>50000</v>
      </c>
      <c r="H190" s="45">
        <f>F190</f>
        <v>50000</v>
      </c>
      <c r="I190" s="45">
        <f>F190</f>
        <v>50000</v>
      </c>
      <c r="J190" s="45">
        <f>I190</f>
        <v>50000</v>
      </c>
      <c r="K190" s="45">
        <f>I190</f>
        <v>50000</v>
      </c>
    </row>
    <row r="191" spans="1:13" ht="14.25" customHeight="1" x14ac:dyDescent="0.2">
      <c r="A191" s="47" t="s">
        <v>121</v>
      </c>
      <c r="B191" s="67" t="s">
        <v>547</v>
      </c>
      <c r="C191" s="47" t="s">
        <v>1</v>
      </c>
      <c r="D191" s="47" t="s">
        <v>1</v>
      </c>
      <c r="E191" s="47" t="s">
        <v>1</v>
      </c>
      <c r="F191" s="47" t="s">
        <v>1</v>
      </c>
      <c r="G191" s="47" t="s">
        <v>1</v>
      </c>
      <c r="H191" s="47" t="s">
        <v>1</v>
      </c>
      <c r="I191" s="55">
        <f>SUM(I190:I190)</f>
        <v>50000</v>
      </c>
      <c r="J191" s="55">
        <f>SUM(J190:J190)</f>
        <v>50000</v>
      </c>
      <c r="K191" s="55">
        <f>SUM(K190:K190)</f>
        <v>50000</v>
      </c>
    </row>
  </sheetData>
  <mergeCells count="98">
    <mergeCell ref="L46:L48"/>
    <mergeCell ref="L55:L57"/>
    <mergeCell ref="L118:L120"/>
    <mergeCell ref="L36:N36"/>
    <mergeCell ref="A1:N1"/>
    <mergeCell ref="A3:N3"/>
    <mergeCell ref="A5:A7"/>
    <mergeCell ref="B5:B7"/>
    <mergeCell ref="C5:E5"/>
    <mergeCell ref="B12:B13"/>
    <mergeCell ref="C12:C13"/>
    <mergeCell ref="D12:D13"/>
    <mergeCell ref="E12:E13"/>
    <mergeCell ref="A36:A38"/>
    <mergeCell ref="B36:B38"/>
    <mergeCell ref="C36:E36"/>
    <mergeCell ref="F36:H36"/>
    <mergeCell ref="I36:K36"/>
    <mergeCell ref="L64:N64"/>
    <mergeCell ref="A46:A48"/>
    <mergeCell ref="B46:B48"/>
    <mergeCell ref="C46:E46"/>
    <mergeCell ref="F46:H46"/>
    <mergeCell ref="I46:K46"/>
    <mergeCell ref="A55:A57"/>
    <mergeCell ref="B55:B57"/>
    <mergeCell ref="C55:E55"/>
    <mergeCell ref="F55:H55"/>
    <mergeCell ref="I55:K55"/>
    <mergeCell ref="A64:A66"/>
    <mergeCell ref="B64:B66"/>
    <mergeCell ref="C64:E64"/>
    <mergeCell ref="F64:H64"/>
    <mergeCell ref="I64:K64"/>
    <mergeCell ref="A83:A85"/>
    <mergeCell ref="B83:B85"/>
    <mergeCell ref="C83:E83"/>
    <mergeCell ref="F83:H83"/>
    <mergeCell ref="I83:K83"/>
    <mergeCell ref="A73:A75"/>
    <mergeCell ref="B73:B75"/>
    <mergeCell ref="C73:E73"/>
    <mergeCell ref="F73:H73"/>
    <mergeCell ref="I73:K73"/>
    <mergeCell ref="A90:N90"/>
    <mergeCell ref="A92:A94"/>
    <mergeCell ref="B92:B94"/>
    <mergeCell ref="C92:E92"/>
    <mergeCell ref="F92:H92"/>
    <mergeCell ref="I92:K92"/>
    <mergeCell ref="A118:A120"/>
    <mergeCell ref="B118:B120"/>
    <mergeCell ref="C118:E118"/>
    <mergeCell ref="F118:H118"/>
    <mergeCell ref="I118:K118"/>
    <mergeCell ref="A101:A103"/>
    <mergeCell ref="B101:B103"/>
    <mergeCell ref="C101:E101"/>
    <mergeCell ref="F101:H101"/>
    <mergeCell ref="I101:K101"/>
    <mergeCell ref="A136:A138"/>
    <mergeCell ref="B136:B138"/>
    <mergeCell ref="C136:E136"/>
    <mergeCell ref="F136:H136"/>
    <mergeCell ref="I136:K136"/>
    <mergeCell ref="A127:A129"/>
    <mergeCell ref="B127:B129"/>
    <mergeCell ref="C127:E127"/>
    <mergeCell ref="F127:H127"/>
    <mergeCell ref="I127:K127"/>
    <mergeCell ref="F172:H172"/>
    <mergeCell ref="I172:K172"/>
    <mergeCell ref="A145:A147"/>
    <mergeCell ref="B145:B147"/>
    <mergeCell ref="C145:E145"/>
    <mergeCell ref="F145:H145"/>
    <mergeCell ref="I145:K145"/>
    <mergeCell ref="A154:A156"/>
    <mergeCell ref="B154:B156"/>
    <mergeCell ref="C154:E154"/>
    <mergeCell ref="F154:H154"/>
    <mergeCell ref="I154:K154"/>
    <mergeCell ref="L101:L103"/>
    <mergeCell ref="L172:L174"/>
    <mergeCell ref="M172:M174"/>
    <mergeCell ref="A186:A188"/>
    <mergeCell ref="B186:B188"/>
    <mergeCell ref="C186:E186"/>
    <mergeCell ref="F186:H186"/>
    <mergeCell ref="I186:K186"/>
    <mergeCell ref="A163:A165"/>
    <mergeCell ref="B163:B165"/>
    <mergeCell ref="C163:E163"/>
    <mergeCell ref="F163:H163"/>
    <mergeCell ref="I163:K163"/>
    <mergeCell ref="A172:A174"/>
    <mergeCell ref="B172:B174"/>
    <mergeCell ref="C172:E172"/>
  </mergeCells>
  <phoneticPr fontId="16" type="noConversion"/>
  <pageMargins left="0.39370078740157483" right="0.19685039370078741" top="0.39370078740157483" bottom="0.19685039370078741" header="0.31496062992125984" footer="0.31496062992125984"/>
  <pageSetup paperSize="9" scale="75" orientation="landscape" r:id="rId1"/>
  <rowBreaks count="4" manualBreakCount="4">
    <brk id="29" max="13" man="1"/>
    <brk id="60" max="16383" man="1"/>
    <brk id="133" max="13" man="1"/>
    <brk id="1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2:N223"/>
  <sheetViews>
    <sheetView tabSelected="1" view="pageBreakPreview" topLeftCell="A117" zoomScaleSheetLayoutView="100" workbookViewId="0">
      <selection activeCell="K182" sqref="K182"/>
    </sheetView>
  </sheetViews>
  <sheetFormatPr defaultColWidth="9.109375" defaultRowHeight="12.55" x14ac:dyDescent="0.2"/>
  <cols>
    <col min="1" max="1" width="36.44140625" style="185" customWidth="1"/>
    <col min="2" max="2" width="7.5546875" style="185" customWidth="1"/>
    <col min="3" max="3" width="13.44140625" style="185" customWidth="1"/>
    <col min="4" max="4" width="12.6640625" style="185" customWidth="1"/>
    <col min="5" max="5" width="12" style="185" customWidth="1"/>
    <col min="6" max="6" width="11.109375" style="185" customWidth="1"/>
    <col min="7" max="7" width="10.44140625" style="185" customWidth="1"/>
    <col min="8" max="8" width="10.5546875" style="185" customWidth="1"/>
    <col min="9" max="9" width="12" style="185" customWidth="1"/>
    <col min="10" max="11" width="11.33203125" style="185" customWidth="1"/>
    <col min="12" max="12" width="13.88671875" style="185" customWidth="1"/>
    <col min="13" max="13" width="11.44140625" style="185" customWidth="1"/>
    <col min="14" max="14" width="12.6640625" style="185" customWidth="1"/>
    <col min="15" max="16384" width="9.109375" style="185"/>
  </cols>
  <sheetData>
    <row r="2" spans="1:14" ht="15.85" customHeight="1" x14ac:dyDescent="0.2">
      <c r="A2" s="303" t="s">
        <v>674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13.15" x14ac:dyDescent="0.25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ht="13.15" x14ac:dyDescent="0.2">
      <c r="A4" s="303" t="s">
        <v>471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</row>
    <row r="5" spans="1:14" ht="13.15" x14ac:dyDescent="0.25">
      <c r="A5" s="186"/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ht="15.85" customHeight="1" x14ac:dyDescent="0.25">
      <c r="A6" s="304" t="s">
        <v>10</v>
      </c>
      <c r="B6" s="300" t="s">
        <v>11</v>
      </c>
      <c r="C6" s="305" t="s">
        <v>81</v>
      </c>
      <c r="D6" s="306"/>
      <c r="E6" s="307"/>
      <c r="F6" s="186"/>
      <c r="G6" s="186"/>
      <c r="H6" s="186"/>
      <c r="I6" s="186"/>
      <c r="J6" s="186"/>
      <c r="K6" s="186"/>
      <c r="L6" s="186"/>
      <c r="M6" s="186"/>
      <c r="N6" s="186"/>
    </row>
    <row r="7" spans="1:14" ht="15.85" customHeight="1" x14ac:dyDescent="0.25">
      <c r="A7" s="304"/>
      <c r="B7" s="300"/>
      <c r="C7" s="187" t="s">
        <v>9</v>
      </c>
      <c r="D7" s="187" t="s">
        <v>571</v>
      </c>
      <c r="E7" s="187" t="s">
        <v>630</v>
      </c>
      <c r="F7" s="186"/>
      <c r="G7" s="186"/>
      <c r="H7" s="186"/>
      <c r="I7" s="186"/>
      <c r="J7" s="186"/>
      <c r="K7" s="186"/>
      <c r="L7" s="186"/>
      <c r="M7" s="186"/>
      <c r="N7" s="186"/>
    </row>
    <row r="8" spans="1:14" ht="40.549999999999997" customHeight="1" x14ac:dyDescent="0.25">
      <c r="A8" s="304"/>
      <c r="B8" s="300"/>
      <c r="C8" s="188" t="s">
        <v>82</v>
      </c>
      <c r="D8" s="188" t="s">
        <v>83</v>
      </c>
      <c r="E8" s="188" t="s">
        <v>84</v>
      </c>
      <c r="F8" s="186"/>
      <c r="G8" s="186"/>
      <c r="H8" s="186"/>
      <c r="I8" s="186"/>
      <c r="J8" s="186"/>
      <c r="K8" s="186"/>
      <c r="L8" s="186"/>
      <c r="M8" s="186"/>
      <c r="N8" s="186"/>
    </row>
    <row r="9" spans="1:14" ht="13.15" x14ac:dyDescent="0.25">
      <c r="A9" s="187" t="s">
        <v>19</v>
      </c>
      <c r="B9" s="187" t="s">
        <v>20</v>
      </c>
      <c r="C9" s="187" t="s">
        <v>21</v>
      </c>
      <c r="D9" s="187" t="s">
        <v>22</v>
      </c>
      <c r="E9" s="187" t="s">
        <v>23</v>
      </c>
      <c r="F9" s="186"/>
      <c r="G9" s="186"/>
      <c r="H9" s="186"/>
      <c r="I9" s="186"/>
      <c r="J9" s="186"/>
      <c r="K9" s="186"/>
      <c r="L9" s="186"/>
      <c r="M9" s="186"/>
      <c r="N9" s="186"/>
    </row>
    <row r="10" spans="1:14" ht="65.75" x14ac:dyDescent="0.25">
      <c r="A10" s="189" t="s">
        <v>215</v>
      </c>
      <c r="B10" s="187" t="s">
        <v>86</v>
      </c>
      <c r="C10" s="190">
        <v>45871.519999999997</v>
      </c>
      <c r="D10" s="190">
        <v>0</v>
      </c>
      <c r="E10" s="190">
        <v>0</v>
      </c>
      <c r="F10" s="186"/>
      <c r="G10" s="186"/>
      <c r="H10" s="186"/>
      <c r="I10" s="186"/>
      <c r="J10" s="186"/>
      <c r="K10" s="186"/>
      <c r="L10" s="186"/>
      <c r="M10" s="186"/>
      <c r="N10" s="186"/>
    </row>
    <row r="11" spans="1:14" ht="43.55" customHeight="1" x14ac:dyDescent="0.25">
      <c r="A11" s="189" t="s">
        <v>216</v>
      </c>
      <c r="B11" s="187" t="s">
        <v>88</v>
      </c>
      <c r="C11" s="190">
        <v>19800</v>
      </c>
      <c r="D11" s="190">
        <v>0</v>
      </c>
      <c r="E11" s="190">
        <v>0</v>
      </c>
      <c r="F11" s="186"/>
      <c r="G11" s="186"/>
      <c r="H11" s="186"/>
      <c r="I11" s="186"/>
      <c r="J11" s="186"/>
      <c r="K11" s="186"/>
      <c r="L11" s="186"/>
      <c r="M11" s="186"/>
      <c r="N11" s="186"/>
    </row>
    <row r="12" spans="1:14" ht="26.3" x14ac:dyDescent="0.25">
      <c r="A12" s="189" t="s">
        <v>217</v>
      </c>
      <c r="B12" s="187" t="s">
        <v>90</v>
      </c>
      <c r="C12" s="190">
        <f>SUM(C13:C24)</f>
        <v>357465</v>
      </c>
      <c r="D12" s="190">
        <v>0</v>
      </c>
      <c r="E12" s="190">
        <v>0</v>
      </c>
      <c r="F12" s="186"/>
      <c r="G12" s="186"/>
      <c r="H12" s="186"/>
      <c r="I12" s="186"/>
      <c r="J12" s="186"/>
      <c r="K12" s="186"/>
      <c r="L12" s="186"/>
      <c r="M12" s="186"/>
      <c r="N12" s="186"/>
    </row>
    <row r="13" spans="1:14" ht="13.15" x14ac:dyDescent="0.25">
      <c r="A13" s="191" t="s">
        <v>57</v>
      </c>
      <c r="B13" s="308" t="s">
        <v>218</v>
      </c>
      <c r="C13" s="190">
        <v>0</v>
      </c>
      <c r="D13" s="190">
        <v>0</v>
      </c>
      <c r="E13" s="190">
        <v>0</v>
      </c>
      <c r="F13" s="186"/>
      <c r="G13" s="186"/>
      <c r="H13" s="186"/>
      <c r="I13" s="186"/>
      <c r="J13" s="186"/>
      <c r="K13" s="186"/>
      <c r="L13" s="186"/>
      <c r="M13" s="186"/>
      <c r="N13" s="186"/>
    </row>
    <row r="14" spans="1:14" ht="15.05" customHeight="1" x14ac:dyDescent="0.25">
      <c r="A14" s="191" t="s">
        <v>472</v>
      </c>
      <c r="B14" s="309"/>
      <c r="C14" s="190">
        <v>0</v>
      </c>
      <c r="D14" s="190">
        <v>0</v>
      </c>
      <c r="E14" s="190">
        <v>0</v>
      </c>
      <c r="F14" s="186"/>
      <c r="G14" s="186"/>
      <c r="H14" s="186"/>
      <c r="I14" s="186"/>
      <c r="J14" s="186"/>
      <c r="K14" s="186"/>
      <c r="L14" s="186"/>
      <c r="M14" s="186"/>
      <c r="N14" s="186"/>
    </row>
    <row r="15" spans="1:14" ht="15.85" customHeight="1" x14ac:dyDescent="0.25">
      <c r="A15" s="191" t="s">
        <v>473</v>
      </c>
      <c r="B15" s="187" t="s">
        <v>219</v>
      </c>
      <c r="C15" s="190">
        <f>L57</f>
        <v>23250</v>
      </c>
      <c r="D15" s="190">
        <v>0</v>
      </c>
      <c r="E15" s="190">
        <v>0</v>
      </c>
      <c r="F15" s="186"/>
      <c r="G15" s="186"/>
      <c r="H15" s="186"/>
      <c r="I15" s="186"/>
      <c r="J15" s="186"/>
      <c r="K15" s="186"/>
      <c r="L15" s="186"/>
      <c r="M15" s="186"/>
      <c r="N15" s="186"/>
    </row>
    <row r="16" spans="1:14" ht="17.25" customHeight="1" x14ac:dyDescent="0.25">
      <c r="A16" s="191" t="s">
        <v>577</v>
      </c>
      <c r="B16" s="187" t="s">
        <v>220</v>
      </c>
      <c r="C16" s="190">
        <v>0</v>
      </c>
      <c r="D16" s="190">
        <v>0</v>
      </c>
      <c r="E16" s="190">
        <v>0</v>
      </c>
      <c r="F16" s="186"/>
      <c r="G16" s="186"/>
      <c r="H16" s="186"/>
      <c r="I16" s="186"/>
      <c r="J16" s="186"/>
      <c r="K16" s="186"/>
      <c r="L16" s="186"/>
      <c r="M16" s="186"/>
      <c r="N16" s="186"/>
    </row>
    <row r="17" spans="1:14" ht="17.25" customHeight="1" x14ac:dyDescent="0.25">
      <c r="A17" s="191" t="s">
        <v>574</v>
      </c>
      <c r="B17" s="187" t="s">
        <v>221</v>
      </c>
      <c r="C17" s="190">
        <f>L80</f>
        <v>100000</v>
      </c>
      <c r="D17" s="190">
        <v>0</v>
      </c>
      <c r="E17" s="190">
        <v>0</v>
      </c>
      <c r="F17" s="192"/>
      <c r="G17" s="192"/>
      <c r="H17" s="192"/>
      <c r="I17" s="186"/>
      <c r="J17" s="186"/>
      <c r="K17" s="186"/>
      <c r="L17" s="186"/>
      <c r="M17" s="186"/>
      <c r="N17" s="186"/>
    </row>
    <row r="18" spans="1:14" ht="15.85" customHeight="1" x14ac:dyDescent="0.25">
      <c r="A18" s="191" t="s">
        <v>475</v>
      </c>
      <c r="B18" s="187" t="s">
        <v>222</v>
      </c>
      <c r="C18" s="190">
        <v>0</v>
      </c>
      <c r="D18" s="190">
        <v>0</v>
      </c>
      <c r="E18" s="190">
        <v>0</v>
      </c>
      <c r="F18" s="186"/>
      <c r="G18" s="186"/>
      <c r="H18" s="186"/>
      <c r="I18" s="186"/>
      <c r="J18" s="186"/>
      <c r="K18" s="186"/>
      <c r="L18" s="186"/>
      <c r="M18" s="186"/>
      <c r="N18" s="186"/>
    </row>
    <row r="19" spans="1:14" ht="14.25" customHeight="1" x14ac:dyDescent="0.25">
      <c r="A19" s="191" t="s">
        <v>476</v>
      </c>
      <c r="B19" s="187" t="s">
        <v>223</v>
      </c>
      <c r="C19" s="190">
        <f>L98</f>
        <v>46200</v>
      </c>
      <c r="D19" s="190">
        <v>0</v>
      </c>
      <c r="E19" s="190">
        <v>0</v>
      </c>
      <c r="F19" s="186"/>
      <c r="G19" s="186"/>
      <c r="H19" s="186"/>
      <c r="I19" s="186"/>
      <c r="J19" s="186"/>
      <c r="K19" s="186"/>
      <c r="L19" s="186"/>
      <c r="M19" s="186"/>
      <c r="N19" s="186"/>
    </row>
    <row r="20" spans="1:14" ht="15.85" customHeight="1" x14ac:dyDescent="0.25">
      <c r="A20" s="191" t="s">
        <v>477</v>
      </c>
      <c r="B20" s="187" t="s">
        <v>224</v>
      </c>
      <c r="C20" s="190">
        <v>0</v>
      </c>
      <c r="D20" s="190">
        <v>0</v>
      </c>
      <c r="E20" s="190">
        <v>0</v>
      </c>
      <c r="F20" s="186"/>
      <c r="G20" s="186"/>
      <c r="H20" s="186"/>
      <c r="I20" s="186"/>
      <c r="J20" s="186"/>
      <c r="K20" s="186"/>
      <c r="L20" s="186"/>
      <c r="M20" s="186"/>
      <c r="N20" s="186"/>
    </row>
    <row r="21" spans="1:14" ht="28.5" customHeight="1" x14ac:dyDescent="0.25">
      <c r="A21" s="189" t="s">
        <v>478</v>
      </c>
      <c r="B21" s="187" t="s">
        <v>225</v>
      </c>
      <c r="C21" s="190">
        <f>I127</f>
        <v>0</v>
      </c>
      <c r="D21" s="190">
        <v>0</v>
      </c>
      <c r="E21" s="190">
        <v>0</v>
      </c>
      <c r="F21" s="186"/>
      <c r="G21" s="186"/>
      <c r="H21" s="186"/>
      <c r="I21" s="186"/>
      <c r="J21" s="186"/>
      <c r="K21" s="186"/>
      <c r="L21" s="186"/>
      <c r="M21" s="186"/>
      <c r="N21" s="186"/>
    </row>
    <row r="22" spans="1:14" ht="77.95" customHeight="1" x14ac:dyDescent="0.25">
      <c r="A22" s="189" t="s">
        <v>479</v>
      </c>
      <c r="B22" s="187" t="s">
        <v>226</v>
      </c>
      <c r="C22" s="190">
        <f>L127</f>
        <v>188015</v>
      </c>
      <c r="D22" s="190">
        <v>0</v>
      </c>
      <c r="E22" s="190">
        <v>0</v>
      </c>
      <c r="F22" s="186"/>
      <c r="G22" s="186"/>
      <c r="H22" s="186"/>
      <c r="I22" s="186"/>
      <c r="J22" s="186"/>
      <c r="K22" s="186"/>
      <c r="L22" s="186"/>
      <c r="M22" s="186"/>
      <c r="N22" s="186"/>
    </row>
    <row r="23" spans="1:14" ht="54" customHeight="1" x14ac:dyDescent="0.25">
      <c r="A23" s="189" t="s">
        <v>675</v>
      </c>
      <c r="B23" s="187" t="s">
        <v>91</v>
      </c>
      <c r="C23" s="190">
        <v>0</v>
      </c>
      <c r="D23" s="190">
        <v>0</v>
      </c>
      <c r="E23" s="190">
        <v>0</v>
      </c>
      <c r="F23" s="186"/>
      <c r="G23" s="186"/>
      <c r="H23" s="186"/>
      <c r="I23" s="186"/>
      <c r="J23" s="186"/>
      <c r="K23" s="186"/>
      <c r="L23" s="186"/>
      <c r="M23" s="186"/>
      <c r="N23" s="186"/>
    </row>
    <row r="24" spans="1:14" ht="27.7" customHeight="1" x14ac:dyDescent="0.25">
      <c r="A24" s="189" t="s">
        <v>480</v>
      </c>
      <c r="B24" s="187" t="s">
        <v>581</v>
      </c>
      <c r="C24" s="190">
        <f>I153</f>
        <v>0</v>
      </c>
      <c r="D24" s="190">
        <v>0</v>
      </c>
      <c r="E24" s="190">
        <v>0</v>
      </c>
      <c r="F24" s="186"/>
      <c r="G24" s="186"/>
      <c r="H24" s="186"/>
      <c r="I24" s="186"/>
      <c r="J24" s="186"/>
      <c r="K24" s="186"/>
      <c r="L24" s="186"/>
      <c r="M24" s="186"/>
      <c r="N24" s="186"/>
    </row>
    <row r="25" spans="1:14" ht="17.25" customHeight="1" x14ac:dyDescent="0.25">
      <c r="A25" s="189" t="s">
        <v>481</v>
      </c>
      <c r="B25" s="187" t="s">
        <v>676</v>
      </c>
      <c r="C25" s="190">
        <f>SUM(C26:C32)</f>
        <v>0</v>
      </c>
      <c r="D25" s="190">
        <v>0</v>
      </c>
      <c r="E25" s="190">
        <v>0</v>
      </c>
      <c r="F25" s="186"/>
      <c r="G25" s="186"/>
      <c r="H25" s="186"/>
      <c r="I25" s="186"/>
      <c r="J25" s="186"/>
      <c r="K25" s="186"/>
      <c r="L25" s="186"/>
      <c r="M25" s="186"/>
      <c r="N25" s="186"/>
    </row>
    <row r="26" spans="1:14" ht="41.35" customHeight="1" x14ac:dyDescent="0.25">
      <c r="A26" s="189" t="s">
        <v>548</v>
      </c>
      <c r="B26" s="193" t="s">
        <v>582</v>
      </c>
      <c r="C26" s="190">
        <v>0</v>
      </c>
      <c r="D26" s="190">
        <v>0</v>
      </c>
      <c r="E26" s="190">
        <v>0</v>
      </c>
      <c r="F26" s="186"/>
      <c r="G26" s="186"/>
      <c r="H26" s="186"/>
      <c r="I26" s="186"/>
      <c r="J26" s="186"/>
      <c r="K26" s="186"/>
      <c r="L26" s="186"/>
      <c r="M26" s="186"/>
      <c r="N26" s="186"/>
    </row>
    <row r="27" spans="1:14" ht="17.25" customHeight="1" x14ac:dyDescent="0.25">
      <c r="A27" s="189" t="s">
        <v>549</v>
      </c>
      <c r="B27" s="193" t="s">
        <v>583</v>
      </c>
      <c r="C27" s="190">
        <v>0</v>
      </c>
      <c r="D27" s="190">
        <v>0</v>
      </c>
      <c r="E27" s="190">
        <v>0</v>
      </c>
      <c r="F27" s="186"/>
      <c r="G27" s="186"/>
      <c r="H27" s="186"/>
      <c r="I27" s="186"/>
      <c r="J27" s="186"/>
      <c r="K27" s="186"/>
      <c r="L27" s="186"/>
      <c r="M27" s="186"/>
      <c r="N27" s="186"/>
    </row>
    <row r="28" spans="1:14" ht="28.5" customHeight="1" x14ac:dyDescent="0.25">
      <c r="A28" s="189" t="s">
        <v>550</v>
      </c>
      <c r="B28" s="193" t="s">
        <v>584</v>
      </c>
      <c r="C28" s="190">
        <f>I181</f>
        <v>0</v>
      </c>
      <c r="D28" s="190">
        <v>0</v>
      </c>
      <c r="E28" s="190">
        <v>0</v>
      </c>
      <c r="F28" s="186"/>
      <c r="G28" s="186"/>
      <c r="H28" s="186"/>
      <c r="I28" s="186"/>
      <c r="J28" s="186"/>
      <c r="K28" s="186"/>
      <c r="L28" s="186"/>
      <c r="M28" s="186"/>
      <c r="N28" s="186"/>
    </row>
    <row r="29" spans="1:14" ht="27.7" customHeight="1" x14ac:dyDescent="0.25">
      <c r="A29" s="189" t="s">
        <v>551</v>
      </c>
      <c r="B29" s="193" t="s">
        <v>585</v>
      </c>
      <c r="C29" s="190">
        <v>0</v>
      </c>
      <c r="D29" s="190">
        <v>0</v>
      </c>
      <c r="E29" s="190">
        <v>0</v>
      </c>
      <c r="F29" s="186"/>
      <c r="G29" s="186"/>
      <c r="H29" s="186"/>
      <c r="I29" s="186"/>
      <c r="J29" s="186"/>
      <c r="K29" s="186"/>
      <c r="L29" s="186"/>
      <c r="M29" s="186"/>
      <c r="N29" s="186"/>
    </row>
    <row r="30" spans="1:14" ht="17.25" customHeight="1" x14ac:dyDescent="0.25">
      <c r="A30" s="189" t="s">
        <v>552</v>
      </c>
      <c r="B30" s="193" t="s">
        <v>586</v>
      </c>
      <c r="C30" s="190">
        <v>0</v>
      </c>
      <c r="D30" s="190">
        <v>0</v>
      </c>
      <c r="E30" s="190">
        <v>0</v>
      </c>
      <c r="F30" s="186"/>
      <c r="G30" s="186"/>
      <c r="H30" s="186"/>
      <c r="I30" s="186"/>
      <c r="J30" s="186"/>
      <c r="K30" s="186"/>
      <c r="L30" s="186"/>
      <c r="M30" s="186"/>
      <c r="N30" s="186"/>
    </row>
    <row r="31" spans="1:14" ht="28.5" customHeight="1" x14ac:dyDescent="0.25">
      <c r="A31" s="189" t="s">
        <v>553</v>
      </c>
      <c r="B31" s="193" t="s">
        <v>587</v>
      </c>
      <c r="C31" s="190">
        <f>I214</f>
        <v>0</v>
      </c>
      <c r="D31" s="190">
        <v>0</v>
      </c>
      <c r="E31" s="190">
        <v>0</v>
      </c>
      <c r="F31" s="186"/>
      <c r="G31" s="186"/>
      <c r="H31" s="186"/>
      <c r="I31" s="186"/>
      <c r="J31" s="186"/>
      <c r="K31" s="186"/>
      <c r="L31" s="186"/>
      <c r="M31" s="186"/>
      <c r="N31" s="186"/>
    </row>
    <row r="32" spans="1:14" ht="30.05" customHeight="1" x14ac:dyDescent="0.25">
      <c r="A32" s="189" t="s">
        <v>554</v>
      </c>
      <c r="B32" s="193" t="s">
        <v>588</v>
      </c>
      <c r="C32" s="190">
        <v>0</v>
      </c>
      <c r="D32" s="190">
        <v>0</v>
      </c>
      <c r="E32" s="190">
        <v>0</v>
      </c>
      <c r="F32" s="186"/>
      <c r="G32" s="186"/>
      <c r="H32" s="186"/>
      <c r="I32" s="186"/>
      <c r="J32" s="186"/>
      <c r="K32" s="186"/>
      <c r="L32" s="186"/>
      <c r="M32" s="186"/>
      <c r="N32" s="186"/>
    </row>
    <row r="33" spans="1:14" ht="66.7" customHeight="1" x14ac:dyDescent="0.25">
      <c r="A33" s="189" t="s">
        <v>227</v>
      </c>
      <c r="B33" s="187" t="s">
        <v>108</v>
      </c>
      <c r="C33" s="190">
        <v>0</v>
      </c>
      <c r="D33" s="190">
        <v>0</v>
      </c>
      <c r="E33" s="190">
        <v>0</v>
      </c>
      <c r="F33" s="186"/>
      <c r="G33" s="186"/>
      <c r="H33" s="186"/>
      <c r="I33" s="186"/>
      <c r="J33" s="186"/>
      <c r="K33" s="186"/>
      <c r="L33" s="186"/>
      <c r="M33" s="186"/>
      <c r="N33" s="186"/>
    </row>
    <row r="34" spans="1:14" ht="41.35" customHeight="1" x14ac:dyDescent="0.25">
      <c r="A34" s="189" t="s">
        <v>228</v>
      </c>
      <c r="B34" s="187" t="s">
        <v>110</v>
      </c>
      <c r="C34" s="190">
        <v>0</v>
      </c>
      <c r="D34" s="190">
        <v>0</v>
      </c>
      <c r="E34" s="190">
        <v>0</v>
      </c>
      <c r="F34" s="186"/>
      <c r="G34" s="186"/>
      <c r="H34" s="186"/>
      <c r="I34" s="186"/>
      <c r="J34" s="186"/>
      <c r="K34" s="186"/>
      <c r="L34" s="186"/>
      <c r="M34" s="186"/>
      <c r="N34" s="186"/>
    </row>
    <row r="35" spans="1:14" ht="39.450000000000003" x14ac:dyDescent="0.25">
      <c r="A35" s="189" t="s">
        <v>229</v>
      </c>
      <c r="B35" s="187" t="s">
        <v>112</v>
      </c>
      <c r="C35" s="194">
        <f>C10+C11+C12+C33+C34</f>
        <v>423136.52</v>
      </c>
      <c r="D35" s="194">
        <f t="shared" ref="D35:E35" si="0">D10+D11+D12+D33+D34</f>
        <v>0</v>
      </c>
      <c r="E35" s="194">
        <f t="shared" si="0"/>
        <v>0</v>
      </c>
      <c r="F35" s="186"/>
      <c r="G35" s="186"/>
      <c r="H35" s="186"/>
      <c r="I35" s="186"/>
      <c r="J35" s="186"/>
      <c r="K35" s="186"/>
      <c r="L35" s="186"/>
      <c r="M35" s="186"/>
      <c r="N35" s="186"/>
    </row>
    <row r="36" spans="1:14" ht="13.15" x14ac:dyDescent="0.25">
      <c r="A36" s="186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</row>
    <row r="37" spans="1:14" ht="13.15" x14ac:dyDescent="0.25">
      <c r="A37" s="195" t="s">
        <v>555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</row>
    <row r="38" spans="1:14" ht="13.15" hidden="1" x14ac:dyDescent="0.25">
      <c r="A38" s="186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</row>
    <row r="39" spans="1:14" ht="17.25" hidden="1" customHeight="1" x14ac:dyDescent="0.2">
      <c r="A39" s="297" t="s">
        <v>199</v>
      </c>
      <c r="B39" s="300" t="s">
        <v>11</v>
      </c>
      <c r="C39" s="301" t="s">
        <v>230</v>
      </c>
      <c r="D39" s="301"/>
      <c r="E39" s="301"/>
      <c r="F39" s="301" t="s">
        <v>231</v>
      </c>
      <c r="G39" s="301"/>
      <c r="H39" s="301"/>
      <c r="I39" s="301" t="s">
        <v>232</v>
      </c>
      <c r="J39" s="301"/>
      <c r="K39" s="301"/>
      <c r="L39" s="301" t="s">
        <v>81</v>
      </c>
      <c r="M39" s="301"/>
      <c r="N39" s="301"/>
    </row>
    <row r="40" spans="1:14" ht="15.85" hidden="1" customHeight="1" x14ac:dyDescent="0.2">
      <c r="A40" s="298"/>
      <c r="B40" s="300"/>
      <c r="C40" s="187" t="s">
        <v>8</v>
      </c>
      <c r="D40" s="187" t="s">
        <v>9</v>
      </c>
      <c r="E40" s="187" t="s">
        <v>571</v>
      </c>
      <c r="F40" s="187" t="s">
        <v>8</v>
      </c>
      <c r="G40" s="187" t="s">
        <v>9</v>
      </c>
      <c r="H40" s="187" t="s">
        <v>571</v>
      </c>
      <c r="I40" s="187" t="s">
        <v>8</v>
      </c>
      <c r="J40" s="187" t="s">
        <v>9</v>
      </c>
      <c r="K40" s="187" t="s">
        <v>571</v>
      </c>
      <c r="L40" s="187" t="s">
        <v>8</v>
      </c>
      <c r="M40" s="187" t="s">
        <v>9</v>
      </c>
      <c r="N40" s="187" t="s">
        <v>571</v>
      </c>
    </row>
    <row r="41" spans="1:14" ht="54.8" hidden="1" customHeight="1" x14ac:dyDescent="0.2">
      <c r="A41" s="299"/>
      <c r="B41" s="300"/>
      <c r="C41" s="188" t="s">
        <v>82</v>
      </c>
      <c r="D41" s="188" t="s">
        <v>83</v>
      </c>
      <c r="E41" s="188" t="s">
        <v>84</v>
      </c>
      <c r="F41" s="188" t="s">
        <v>82</v>
      </c>
      <c r="G41" s="188" t="s">
        <v>83</v>
      </c>
      <c r="H41" s="188" t="s">
        <v>84</v>
      </c>
      <c r="I41" s="188" t="s">
        <v>82</v>
      </c>
      <c r="J41" s="188" t="s">
        <v>83</v>
      </c>
      <c r="K41" s="188" t="s">
        <v>84</v>
      </c>
      <c r="L41" s="188" t="s">
        <v>82</v>
      </c>
      <c r="M41" s="188" t="s">
        <v>83</v>
      </c>
      <c r="N41" s="188" t="s">
        <v>84</v>
      </c>
    </row>
    <row r="42" spans="1:14" ht="13.15" hidden="1" x14ac:dyDescent="0.2">
      <c r="A42" s="187" t="s">
        <v>19</v>
      </c>
      <c r="B42" s="187" t="s">
        <v>20</v>
      </c>
      <c r="C42" s="187" t="s">
        <v>21</v>
      </c>
      <c r="D42" s="187" t="s">
        <v>22</v>
      </c>
      <c r="E42" s="187" t="s">
        <v>23</v>
      </c>
      <c r="F42" s="187" t="s">
        <v>24</v>
      </c>
      <c r="G42" s="187" t="s">
        <v>25</v>
      </c>
      <c r="H42" s="187" t="s">
        <v>26</v>
      </c>
      <c r="I42" s="187" t="s">
        <v>27</v>
      </c>
      <c r="J42" s="187" t="s">
        <v>28</v>
      </c>
      <c r="K42" s="187" t="s">
        <v>29</v>
      </c>
      <c r="L42" s="187" t="s">
        <v>172</v>
      </c>
      <c r="M42" s="187" t="s">
        <v>203</v>
      </c>
      <c r="N42" s="187" t="s">
        <v>204</v>
      </c>
    </row>
    <row r="43" spans="1:14" s="200" customFormat="1" ht="15.05" hidden="1" customHeight="1" x14ac:dyDescent="0.2">
      <c r="A43" s="196"/>
      <c r="B43" s="197"/>
      <c r="C43" s="198"/>
      <c r="D43" s="198"/>
      <c r="E43" s="198"/>
      <c r="F43" s="198"/>
      <c r="G43" s="198"/>
      <c r="H43" s="198"/>
      <c r="I43" s="199"/>
      <c r="J43" s="199"/>
      <c r="K43" s="199"/>
      <c r="L43" s="199"/>
      <c r="M43" s="199"/>
      <c r="N43" s="199"/>
    </row>
    <row r="44" spans="1:14" s="200" customFormat="1" ht="15.85" hidden="1" customHeight="1" x14ac:dyDescent="0.2">
      <c r="A44" s="196"/>
      <c r="B44" s="187"/>
      <c r="C44" s="198"/>
      <c r="D44" s="198"/>
      <c r="E44" s="198"/>
      <c r="F44" s="198"/>
      <c r="G44" s="198"/>
      <c r="H44" s="198"/>
      <c r="I44" s="199"/>
      <c r="J44" s="199"/>
      <c r="K44" s="199"/>
      <c r="L44" s="199"/>
      <c r="M44" s="199"/>
      <c r="N44" s="199"/>
    </row>
    <row r="45" spans="1:14" s="200" customFormat="1" ht="14.25" hidden="1" customHeight="1" x14ac:dyDescent="0.2">
      <c r="A45" s="196"/>
      <c r="B45" s="197"/>
      <c r="C45" s="198"/>
      <c r="D45" s="198"/>
      <c r="E45" s="198"/>
      <c r="F45" s="198"/>
      <c r="G45" s="198"/>
      <c r="H45" s="198"/>
      <c r="I45" s="199"/>
      <c r="J45" s="199"/>
      <c r="K45" s="199"/>
      <c r="L45" s="199"/>
      <c r="M45" s="199"/>
      <c r="N45" s="199"/>
    </row>
    <row r="46" spans="1:14" ht="26.3" hidden="1" customHeight="1" x14ac:dyDescent="0.2">
      <c r="A46" s="189"/>
      <c r="B46" s="187"/>
      <c r="C46" s="201"/>
      <c r="D46" s="198"/>
      <c r="E46" s="198"/>
      <c r="F46" s="201"/>
      <c r="G46" s="198"/>
      <c r="H46" s="198"/>
      <c r="I46" s="190"/>
      <c r="J46" s="199"/>
      <c r="K46" s="199"/>
      <c r="L46" s="199"/>
      <c r="M46" s="199"/>
      <c r="N46" s="199"/>
    </row>
    <row r="47" spans="1:14" ht="27.1" hidden="1" customHeight="1" x14ac:dyDescent="0.2">
      <c r="A47" s="189"/>
      <c r="B47" s="197"/>
      <c r="C47" s="201"/>
      <c r="D47" s="198"/>
      <c r="E47" s="198"/>
      <c r="F47" s="201"/>
      <c r="G47" s="198"/>
      <c r="H47" s="198"/>
      <c r="I47" s="190"/>
      <c r="J47" s="199"/>
      <c r="K47" s="199"/>
      <c r="L47" s="199"/>
      <c r="M47" s="199"/>
      <c r="N47" s="199"/>
    </row>
    <row r="48" spans="1:14" ht="13.15" hidden="1" x14ac:dyDescent="0.2">
      <c r="A48" s="187" t="s">
        <v>121</v>
      </c>
      <c r="B48" s="193" t="s">
        <v>218</v>
      </c>
      <c r="C48" s="187" t="s">
        <v>1</v>
      </c>
      <c r="D48" s="187" t="s">
        <v>1</v>
      </c>
      <c r="E48" s="187" t="s">
        <v>1</v>
      </c>
      <c r="F48" s="187" t="s">
        <v>1</v>
      </c>
      <c r="G48" s="187" t="s">
        <v>1</v>
      </c>
      <c r="H48" s="187" t="s">
        <v>1</v>
      </c>
      <c r="I48" s="187" t="s">
        <v>1</v>
      </c>
      <c r="J48" s="187" t="s">
        <v>1</v>
      </c>
      <c r="K48" s="187" t="s">
        <v>1</v>
      </c>
      <c r="L48" s="194">
        <f>SUM(L43:L47)</f>
        <v>0</v>
      </c>
      <c r="M48" s="194">
        <f>SUM(M43:M47)</f>
        <v>0</v>
      </c>
      <c r="N48" s="194">
        <f>SUM(N43:N47)</f>
        <v>0</v>
      </c>
    </row>
    <row r="49" spans="1:14" ht="13.15" x14ac:dyDescent="0.25">
      <c r="A49" s="18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</row>
    <row r="50" spans="1:14" ht="13.15" x14ac:dyDescent="0.25">
      <c r="A50" s="195" t="s">
        <v>556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</row>
    <row r="51" spans="1:14" ht="13.15" x14ac:dyDescent="0.25">
      <c r="A51" s="186"/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</row>
    <row r="52" spans="1:14" ht="16.45" customHeight="1" x14ac:dyDescent="0.25">
      <c r="A52" s="297" t="s">
        <v>199</v>
      </c>
      <c r="B52" s="300" t="s">
        <v>233</v>
      </c>
      <c r="C52" s="301" t="s">
        <v>234</v>
      </c>
      <c r="D52" s="301"/>
      <c r="E52" s="301"/>
      <c r="F52" s="301" t="s">
        <v>235</v>
      </c>
      <c r="G52" s="301"/>
      <c r="H52" s="301"/>
      <c r="I52" s="301" t="s">
        <v>81</v>
      </c>
      <c r="J52" s="301"/>
      <c r="K52" s="301"/>
      <c r="L52" s="279" t="s">
        <v>672</v>
      </c>
      <c r="M52" s="186"/>
      <c r="N52" s="186"/>
    </row>
    <row r="53" spans="1:14" ht="15.05" customHeight="1" x14ac:dyDescent="0.25">
      <c r="A53" s="298"/>
      <c r="B53" s="300"/>
      <c r="C53" s="187" t="s">
        <v>9</v>
      </c>
      <c r="D53" s="187" t="s">
        <v>571</v>
      </c>
      <c r="E53" s="187" t="s">
        <v>630</v>
      </c>
      <c r="F53" s="187" t="s">
        <v>9</v>
      </c>
      <c r="G53" s="187" t="s">
        <v>571</v>
      </c>
      <c r="H53" s="187" t="s">
        <v>630</v>
      </c>
      <c r="I53" s="187" t="s">
        <v>9</v>
      </c>
      <c r="J53" s="187" t="s">
        <v>571</v>
      </c>
      <c r="K53" s="187" t="s">
        <v>630</v>
      </c>
      <c r="L53" s="280"/>
      <c r="M53" s="186"/>
      <c r="N53" s="186"/>
    </row>
    <row r="54" spans="1:14" ht="52.45" customHeight="1" x14ac:dyDescent="0.25">
      <c r="A54" s="299"/>
      <c r="B54" s="300"/>
      <c r="C54" s="188" t="s">
        <v>82</v>
      </c>
      <c r="D54" s="188" t="s">
        <v>83</v>
      </c>
      <c r="E54" s="188" t="s">
        <v>84</v>
      </c>
      <c r="F54" s="188" t="s">
        <v>82</v>
      </c>
      <c r="G54" s="188" t="s">
        <v>83</v>
      </c>
      <c r="H54" s="188" t="s">
        <v>84</v>
      </c>
      <c r="I54" s="188" t="s">
        <v>82</v>
      </c>
      <c r="J54" s="188" t="s">
        <v>83</v>
      </c>
      <c r="K54" s="188" t="s">
        <v>84</v>
      </c>
      <c r="L54" s="281"/>
      <c r="M54" s="186"/>
      <c r="N54" s="186"/>
    </row>
    <row r="55" spans="1:14" ht="13.15" x14ac:dyDescent="0.25">
      <c r="A55" s="187" t="s">
        <v>19</v>
      </c>
      <c r="B55" s="187" t="s">
        <v>20</v>
      </c>
      <c r="C55" s="187" t="s">
        <v>21</v>
      </c>
      <c r="D55" s="187" t="s">
        <v>22</v>
      </c>
      <c r="E55" s="187" t="s">
        <v>23</v>
      </c>
      <c r="F55" s="187" t="s">
        <v>24</v>
      </c>
      <c r="G55" s="187" t="s">
        <v>25</v>
      </c>
      <c r="H55" s="187" t="s">
        <v>26</v>
      </c>
      <c r="I55" s="187" t="s">
        <v>27</v>
      </c>
      <c r="J55" s="187" t="s">
        <v>28</v>
      </c>
      <c r="K55" s="187" t="s">
        <v>29</v>
      </c>
      <c r="L55" s="179">
        <v>12</v>
      </c>
      <c r="M55" s="186"/>
      <c r="N55" s="186"/>
    </row>
    <row r="56" spans="1:14" ht="16.45" customHeight="1" x14ac:dyDescent="0.25">
      <c r="A56" s="189" t="s">
        <v>677</v>
      </c>
      <c r="B56" s="193" t="s">
        <v>31</v>
      </c>
      <c r="C56" s="187">
        <v>0</v>
      </c>
      <c r="D56" s="187">
        <v>0</v>
      </c>
      <c r="E56" s="187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0">
        <v>0</v>
      </c>
      <c r="L56" s="190">
        <v>23250</v>
      </c>
      <c r="M56" s="186"/>
      <c r="N56" s="186"/>
    </row>
    <row r="57" spans="1:14" ht="13.15" x14ac:dyDescent="0.25">
      <c r="A57" s="187" t="s">
        <v>121</v>
      </c>
      <c r="B57" s="193" t="s">
        <v>219</v>
      </c>
      <c r="C57" s="187" t="s">
        <v>1</v>
      </c>
      <c r="D57" s="187" t="s">
        <v>1</v>
      </c>
      <c r="E57" s="187" t="s">
        <v>1</v>
      </c>
      <c r="F57" s="190" t="s">
        <v>1</v>
      </c>
      <c r="G57" s="190" t="s">
        <v>1</v>
      </c>
      <c r="H57" s="190" t="s">
        <v>1</v>
      </c>
      <c r="I57" s="194">
        <f>SUM(I56:I56)</f>
        <v>0</v>
      </c>
      <c r="J57" s="194">
        <f>SUM(J56:J56)</f>
        <v>0</v>
      </c>
      <c r="K57" s="194">
        <f>SUM(K56:K56)</f>
        <v>0</v>
      </c>
      <c r="L57" s="194">
        <f>SUM(L56)</f>
        <v>23250</v>
      </c>
      <c r="M57" s="186"/>
      <c r="N57" s="186"/>
    </row>
    <row r="58" spans="1:14" ht="13.15" x14ac:dyDescent="0.25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</row>
    <row r="59" spans="1:14" ht="13.15" x14ac:dyDescent="0.25">
      <c r="A59" s="195" t="s">
        <v>575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</row>
    <row r="60" spans="1:14" ht="13.15" hidden="1" x14ac:dyDescent="0.25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</row>
    <row r="61" spans="1:14" ht="18.8" hidden="1" customHeight="1" x14ac:dyDescent="0.25">
      <c r="A61" s="297" t="s">
        <v>199</v>
      </c>
      <c r="B61" s="300" t="s">
        <v>11</v>
      </c>
      <c r="C61" s="300" t="s">
        <v>236</v>
      </c>
      <c r="D61" s="300"/>
      <c r="E61" s="300"/>
      <c r="F61" s="301" t="s">
        <v>237</v>
      </c>
      <c r="G61" s="301"/>
      <c r="H61" s="301"/>
      <c r="I61" s="301" t="s">
        <v>81</v>
      </c>
      <c r="J61" s="301"/>
      <c r="K61" s="301"/>
      <c r="L61" s="302"/>
      <c r="M61" s="186"/>
      <c r="N61" s="186"/>
    </row>
    <row r="62" spans="1:14" ht="16.45" hidden="1" customHeight="1" x14ac:dyDescent="0.25">
      <c r="A62" s="298"/>
      <c r="B62" s="300"/>
      <c r="C62" s="187" t="s">
        <v>8</v>
      </c>
      <c r="D62" s="187" t="s">
        <v>9</v>
      </c>
      <c r="E62" s="187" t="s">
        <v>571</v>
      </c>
      <c r="F62" s="187" t="s">
        <v>8</v>
      </c>
      <c r="G62" s="187" t="s">
        <v>9</v>
      </c>
      <c r="H62" s="187" t="s">
        <v>571</v>
      </c>
      <c r="I62" s="187" t="s">
        <v>8</v>
      </c>
      <c r="J62" s="187" t="s">
        <v>9</v>
      </c>
      <c r="K62" s="187" t="s">
        <v>571</v>
      </c>
      <c r="L62" s="302"/>
      <c r="M62" s="186"/>
      <c r="N62" s="186"/>
    </row>
    <row r="63" spans="1:14" ht="54" hidden="1" customHeight="1" x14ac:dyDescent="0.25">
      <c r="A63" s="299"/>
      <c r="B63" s="300"/>
      <c r="C63" s="188" t="s">
        <v>82</v>
      </c>
      <c r="D63" s="188" t="s">
        <v>83</v>
      </c>
      <c r="E63" s="188" t="s">
        <v>84</v>
      </c>
      <c r="F63" s="188" t="s">
        <v>82</v>
      </c>
      <c r="G63" s="188" t="s">
        <v>83</v>
      </c>
      <c r="H63" s="188" t="s">
        <v>84</v>
      </c>
      <c r="I63" s="188" t="s">
        <v>82</v>
      </c>
      <c r="J63" s="188" t="s">
        <v>83</v>
      </c>
      <c r="K63" s="188" t="s">
        <v>84</v>
      </c>
      <c r="L63" s="302"/>
      <c r="M63" s="186"/>
      <c r="N63" s="186"/>
    </row>
    <row r="64" spans="1:14" ht="13.15" hidden="1" x14ac:dyDescent="0.25">
      <c r="A64" s="187" t="s">
        <v>19</v>
      </c>
      <c r="B64" s="187" t="s">
        <v>20</v>
      </c>
      <c r="C64" s="187" t="s">
        <v>21</v>
      </c>
      <c r="D64" s="187" t="s">
        <v>22</v>
      </c>
      <c r="E64" s="187" t="s">
        <v>23</v>
      </c>
      <c r="F64" s="187" t="s">
        <v>24</v>
      </c>
      <c r="G64" s="187" t="s">
        <v>25</v>
      </c>
      <c r="H64" s="187" t="s">
        <v>26</v>
      </c>
      <c r="I64" s="187" t="s">
        <v>27</v>
      </c>
      <c r="J64" s="187" t="s">
        <v>28</v>
      </c>
      <c r="K64" s="187" t="s">
        <v>29</v>
      </c>
      <c r="L64" s="202"/>
      <c r="M64" s="186"/>
      <c r="N64" s="186"/>
    </row>
    <row r="65" spans="1:14" ht="13.15" hidden="1" x14ac:dyDescent="0.25">
      <c r="A65" s="189"/>
      <c r="B65" s="187"/>
      <c r="C65" s="203"/>
      <c r="D65" s="203"/>
      <c r="E65" s="203"/>
      <c r="F65" s="190"/>
      <c r="G65" s="190"/>
      <c r="H65" s="190"/>
      <c r="I65" s="190"/>
      <c r="J65" s="190"/>
      <c r="K65" s="190"/>
      <c r="L65" s="202"/>
      <c r="M65" s="186"/>
      <c r="N65" s="186"/>
    </row>
    <row r="66" spans="1:14" ht="13.15" hidden="1" x14ac:dyDescent="0.25">
      <c r="A66" s="189"/>
      <c r="B66" s="193"/>
      <c r="C66" s="203"/>
      <c r="D66" s="203"/>
      <c r="E66" s="203"/>
      <c r="F66" s="190"/>
      <c r="G66" s="190"/>
      <c r="H66" s="190"/>
      <c r="I66" s="190"/>
      <c r="J66" s="190"/>
      <c r="K66" s="190"/>
      <c r="L66" s="202"/>
      <c r="M66" s="186"/>
      <c r="N66" s="186"/>
    </row>
    <row r="67" spans="1:14" ht="15.85" hidden="1" customHeight="1" x14ac:dyDescent="0.25">
      <c r="A67" s="189"/>
      <c r="B67" s="187"/>
      <c r="C67" s="204"/>
      <c r="D67" s="204"/>
      <c r="E67" s="204"/>
      <c r="F67" s="190"/>
      <c r="G67" s="190"/>
      <c r="H67" s="190"/>
      <c r="I67" s="190"/>
      <c r="J67" s="190"/>
      <c r="K67" s="190"/>
      <c r="L67" s="205"/>
      <c r="M67" s="186"/>
      <c r="N67" s="186"/>
    </row>
    <row r="68" spans="1:14" ht="13.15" hidden="1" x14ac:dyDescent="0.25">
      <c r="A68" s="189"/>
      <c r="B68" s="193"/>
      <c r="C68" s="203"/>
      <c r="D68" s="203"/>
      <c r="E68" s="203"/>
      <c r="F68" s="190"/>
      <c r="G68" s="190"/>
      <c r="H68" s="190"/>
      <c r="I68" s="190"/>
      <c r="J68" s="190"/>
      <c r="K68" s="190"/>
      <c r="L68" s="205"/>
      <c r="M68" s="192"/>
      <c r="N68" s="186"/>
    </row>
    <row r="69" spans="1:14" ht="15.05" hidden="1" customHeight="1" x14ac:dyDescent="0.25">
      <c r="A69" s="189"/>
      <c r="B69" s="187"/>
      <c r="C69" s="204"/>
      <c r="D69" s="204"/>
      <c r="E69" s="204"/>
      <c r="F69" s="190"/>
      <c r="G69" s="190"/>
      <c r="H69" s="190"/>
      <c r="I69" s="190"/>
      <c r="J69" s="190"/>
      <c r="K69" s="190"/>
      <c r="L69" s="205"/>
      <c r="M69" s="186"/>
      <c r="N69" s="186"/>
    </row>
    <row r="70" spans="1:14" ht="13.5" hidden="1" customHeight="1" x14ac:dyDescent="0.25">
      <c r="A70" s="189"/>
      <c r="B70" s="193"/>
      <c r="C70" s="206"/>
      <c r="D70" s="206"/>
      <c r="E70" s="206"/>
      <c r="F70" s="190"/>
      <c r="G70" s="190"/>
      <c r="H70" s="190"/>
      <c r="I70" s="190"/>
      <c r="J70" s="190"/>
      <c r="K70" s="190"/>
      <c r="L70" s="205"/>
      <c r="M70" s="192"/>
      <c r="N70" s="186"/>
    </row>
    <row r="71" spans="1:14" ht="14.25" hidden="1" customHeight="1" x14ac:dyDescent="0.25">
      <c r="A71" s="187" t="s">
        <v>121</v>
      </c>
      <c r="B71" s="193" t="s">
        <v>220</v>
      </c>
      <c r="C71" s="187" t="s">
        <v>1</v>
      </c>
      <c r="D71" s="187" t="s">
        <v>1</v>
      </c>
      <c r="E71" s="187" t="s">
        <v>1</v>
      </c>
      <c r="F71" s="190" t="s">
        <v>1</v>
      </c>
      <c r="G71" s="190" t="s">
        <v>1</v>
      </c>
      <c r="H71" s="190" t="s">
        <v>1</v>
      </c>
      <c r="I71" s="194">
        <f>SUM(I65:I70)</f>
        <v>0</v>
      </c>
      <c r="J71" s="194">
        <f>SUM(J65:J70)</f>
        <v>0</v>
      </c>
      <c r="K71" s="194">
        <f>SUM(K65:K70)</f>
        <v>0</v>
      </c>
      <c r="L71" s="207"/>
      <c r="M71" s="192"/>
      <c r="N71" s="186"/>
    </row>
    <row r="72" spans="1:14" ht="10.5" customHeight="1" x14ac:dyDescent="0.25">
      <c r="A72" s="186"/>
      <c r="B72" s="186"/>
      <c r="C72" s="186"/>
      <c r="D72" s="186"/>
      <c r="E72" s="186"/>
      <c r="F72" s="186"/>
      <c r="G72" s="186"/>
      <c r="H72" s="186"/>
      <c r="I72" s="186"/>
      <c r="J72" s="186"/>
      <c r="K72" s="186"/>
      <c r="L72" s="186"/>
      <c r="M72" s="186"/>
      <c r="N72" s="186"/>
    </row>
    <row r="73" spans="1:14" ht="13.15" x14ac:dyDescent="0.25">
      <c r="A73" s="195" t="s">
        <v>576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92"/>
      <c r="M73" s="186"/>
      <c r="N73" s="186"/>
    </row>
    <row r="74" spans="1:14" ht="13.15" x14ac:dyDescent="0.25">
      <c r="A74" s="186"/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92"/>
      <c r="N74" s="186"/>
    </row>
    <row r="75" spans="1:14" ht="12.7" customHeight="1" x14ac:dyDescent="0.25">
      <c r="A75" s="297" t="s">
        <v>199</v>
      </c>
      <c r="B75" s="300" t="s">
        <v>11</v>
      </c>
      <c r="C75" s="300" t="s">
        <v>236</v>
      </c>
      <c r="D75" s="300"/>
      <c r="E75" s="300"/>
      <c r="F75" s="301" t="s">
        <v>237</v>
      </c>
      <c r="G75" s="301"/>
      <c r="H75" s="301"/>
      <c r="I75" s="301" t="s">
        <v>81</v>
      </c>
      <c r="J75" s="301"/>
      <c r="K75" s="301"/>
      <c r="L75" s="279" t="s">
        <v>672</v>
      </c>
      <c r="M75" s="186"/>
      <c r="N75" s="186"/>
    </row>
    <row r="76" spans="1:14" ht="13.15" x14ac:dyDescent="0.25">
      <c r="A76" s="298"/>
      <c r="B76" s="300"/>
      <c r="C76" s="187" t="s">
        <v>9</v>
      </c>
      <c r="D76" s="187" t="s">
        <v>571</v>
      </c>
      <c r="E76" s="187" t="s">
        <v>630</v>
      </c>
      <c r="F76" s="187" t="s">
        <v>9</v>
      </c>
      <c r="G76" s="187" t="s">
        <v>571</v>
      </c>
      <c r="H76" s="187" t="s">
        <v>630</v>
      </c>
      <c r="I76" s="187" t="s">
        <v>9</v>
      </c>
      <c r="J76" s="187" t="s">
        <v>571</v>
      </c>
      <c r="K76" s="187" t="s">
        <v>630</v>
      </c>
      <c r="L76" s="280"/>
      <c r="M76" s="186"/>
      <c r="N76" s="186"/>
    </row>
    <row r="77" spans="1:14" ht="39.450000000000003" x14ac:dyDescent="0.25">
      <c r="A77" s="299"/>
      <c r="B77" s="300"/>
      <c r="C77" s="188" t="s">
        <v>82</v>
      </c>
      <c r="D77" s="188" t="s">
        <v>83</v>
      </c>
      <c r="E77" s="188" t="s">
        <v>84</v>
      </c>
      <c r="F77" s="188" t="s">
        <v>82</v>
      </c>
      <c r="G77" s="188" t="s">
        <v>83</v>
      </c>
      <c r="H77" s="188" t="s">
        <v>84</v>
      </c>
      <c r="I77" s="188" t="s">
        <v>82</v>
      </c>
      <c r="J77" s="188" t="s">
        <v>83</v>
      </c>
      <c r="K77" s="188" t="s">
        <v>84</v>
      </c>
      <c r="L77" s="281"/>
      <c r="M77" s="186"/>
      <c r="N77" s="186"/>
    </row>
    <row r="78" spans="1:14" ht="13.15" x14ac:dyDescent="0.25">
      <c r="A78" s="187" t="s">
        <v>19</v>
      </c>
      <c r="B78" s="187" t="s">
        <v>20</v>
      </c>
      <c r="C78" s="187" t="s">
        <v>21</v>
      </c>
      <c r="D78" s="187" t="s">
        <v>22</v>
      </c>
      <c r="E78" s="187" t="s">
        <v>23</v>
      </c>
      <c r="F78" s="187" t="s">
        <v>24</v>
      </c>
      <c r="G78" s="187" t="s">
        <v>25</v>
      </c>
      <c r="H78" s="187" t="s">
        <v>26</v>
      </c>
      <c r="I78" s="187" t="s">
        <v>27</v>
      </c>
      <c r="J78" s="187" t="s">
        <v>28</v>
      </c>
      <c r="K78" s="187" t="s">
        <v>29</v>
      </c>
      <c r="L78" s="179">
        <v>12</v>
      </c>
      <c r="M78" s="186"/>
      <c r="N78" s="186"/>
    </row>
    <row r="79" spans="1:14" ht="13.5" customHeight="1" x14ac:dyDescent="0.25">
      <c r="A79" s="189" t="s">
        <v>494</v>
      </c>
      <c r="B79" s="187" t="s">
        <v>31</v>
      </c>
      <c r="C79" s="203">
        <v>0</v>
      </c>
      <c r="D79" s="203">
        <v>0</v>
      </c>
      <c r="E79" s="203">
        <v>0</v>
      </c>
      <c r="F79" s="190">
        <v>0</v>
      </c>
      <c r="G79" s="190">
        <v>0</v>
      </c>
      <c r="H79" s="190">
        <v>0</v>
      </c>
      <c r="I79" s="190">
        <v>0</v>
      </c>
      <c r="J79" s="190">
        <v>0</v>
      </c>
      <c r="K79" s="190">
        <v>0</v>
      </c>
      <c r="L79" s="190">
        <v>100000</v>
      </c>
      <c r="M79" s="186"/>
      <c r="N79" s="186"/>
    </row>
    <row r="80" spans="1:14" ht="13.15" x14ac:dyDescent="0.25">
      <c r="A80" s="187" t="s">
        <v>121</v>
      </c>
      <c r="B80" s="193" t="s">
        <v>221</v>
      </c>
      <c r="C80" s="187" t="s">
        <v>1</v>
      </c>
      <c r="D80" s="187" t="s">
        <v>1</v>
      </c>
      <c r="E80" s="187" t="s">
        <v>1</v>
      </c>
      <c r="F80" s="190" t="s">
        <v>1</v>
      </c>
      <c r="G80" s="190" t="s">
        <v>1</v>
      </c>
      <c r="H80" s="190" t="s">
        <v>1</v>
      </c>
      <c r="I80" s="194">
        <f>SUM(I79:I79)</f>
        <v>0</v>
      </c>
      <c r="J80" s="194">
        <f t="shared" ref="J80:K80" si="1">SUM(J79:J79)</f>
        <v>0</v>
      </c>
      <c r="K80" s="194">
        <f t="shared" si="1"/>
        <v>0</v>
      </c>
      <c r="L80" s="194">
        <f>SUM(L79)</f>
        <v>100000</v>
      </c>
      <c r="M80" s="186"/>
      <c r="N80" s="186"/>
    </row>
    <row r="81" spans="1:14" ht="9.6999999999999993" customHeight="1" x14ac:dyDescent="0.25">
      <c r="A81" s="186"/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</row>
    <row r="82" spans="1:14" ht="13.15" x14ac:dyDescent="0.25">
      <c r="A82" s="195" t="s">
        <v>557</v>
      </c>
      <c r="B82" s="186"/>
      <c r="C82" s="186"/>
      <c r="D82" s="186"/>
      <c r="E82" s="186"/>
      <c r="F82" s="186"/>
      <c r="G82" s="186"/>
      <c r="H82" s="186"/>
      <c r="I82" s="192"/>
      <c r="J82" s="186"/>
      <c r="K82" s="186"/>
      <c r="L82" s="186"/>
      <c r="M82" s="186"/>
      <c r="N82" s="186"/>
    </row>
    <row r="83" spans="1:14" ht="13.15" hidden="1" x14ac:dyDescent="0.25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  <c r="N83" s="186"/>
    </row>
    <row r="84" spans="1:14" ht="27.1" hidden="1" customHeight="1" x14ac:dyDescent="0.2">
      <c r="A84" s="300" t="s">
        <v>199</v>
      </c>
      <c r="B84" s="300" t="s">
        <v>11</v>
      </c>
      <c r="C84" s="300" t="s">
        <v>238</v>
      </c>
      <c r="D84" s="300"/>
      <c r="E84" s="300"/>
      <c r="F84" s="300" t="s">
        <v>239</v>
      </c>
      <c r="G84" s="300"/>
      <c r="H84" s="300"/>
      <c r="I84" s="300" t="s">
        <v>240</v>
      </c>
      <c r="J84" s="300"/>
      <c r="K84" s="300"/>
      <c r="L84" s="301" t="s">
        <v>81</v>
      </c>
      <c r="M84" s="301"/>
      <c r="N84" s="301"/>
    </row>
    <row r="85" spans="1:14" ht="15.85" hidden="1" customHeight="1" x14ac:dyDescent="0.2">
      <c r="A85" s="300"/>
      <c r="B85" s="300"/>
      <c r="C85" s="208" t="s">
        <v>7</v>
      </c>
      <c r="D85" s="208" t="s">
        <v>8</v>
      </c>
      <c r="E85" s="208" t="s">
        <v>9</v>
      </c>
      <c r="F85" s="208" t="s">
        <v>7</v>
      </c>
      <c r="G85" s="208" t="s">
        <v>8</v>
      </c>
      <c r="H85" s="208" t="s">
        <v>9</v>
      </c>
      <c r="I85" s="208" t="s">
        <v>7</v>
      </c>
      <c r="J85" s="208" t="s">
        <v>8</v>
      </c>
      <c r="K85" s="208" t="s">
        <v>9</v>
      </c>
      <c r="L85" s="208" t="s">
        <v>7</v>
      </c>
      <c r="M85" s="208" t="s">
        <v>8</v>
      </c>
      <c r="N85" s="208" t="s">
        <v>9</v>
      </c>
    </row>
    <row r="86" spans="1:14" ht="39.450000000000003" hidden="1" x14ac:dyDescent="0.2">
      <c r="A86" s="300"/>
      <c r="B86" s="300"/>
      <c r="C86" s="188" t="s">
        <v>82</v>
      </c>
      <c r="D86" s="188" t="s">
        <v>83</v>
      </c>
      <c r="E86" s="188" t="s">
        <v>84</v>
      </c>
      <c r="F86" s="188" t="s">
        <v>82</v>
      </c>
      <c r="G86" s="188" t="s">
        <v>83</v>
      </c>
      <c r="H86" s="188" t="s">
        <v>84</v>
      </c>
      <c r="I86" s="188" t="s">
        <v>82</v>
      </c>
      <c r="J86" s="188" t="s">
        <v>83</v>
      </c>
      <c r="K86" s="188" t="s">
        <v>84</v>
      </c>
      <c r="L86" s="188" t="s">
        <v>82</v>
      </c>
      <c r="M86" s="188" t="s">
        <v>83</v>
      </c>
      <c r="N86" s="188" t="s">
        <v>84</v>
      </c>
    </row>
    <row r="87" spans="1:14" ht="13.15" hidden="1" x14ac:dyDescent="0.2">
      <c r="A87" s="187" t="s">
        <v>19</v>
      </c>
      <c r="B87" s="187" t="s">
        <v>20</v>
      </c>
      <c r="C87" s="187" t="s">
        <v>21</v>
      </c>
      <c r="D87" s="187" t="s">
        <v>22</v>
      </c>
      <c r="E87" s="187" t="s">
        <v>23</v>
      </c>
      <c r="F87" s="187" t="s">
        <v>24</v>
      </c>
      <c r="G87" s="187" t="s">
        <v>25</v>
      </c>
      <c r="H87" s="187" t="s">
        <v>26</v>
      </c>
      <c r="I87" s="187" t="s">
        <v>27</v>
      </c>
      <c r="J87" s="187" t="s">
        <v>28</v>
      </c>
      <c r="K87" s="187" t="s">
        <v>29</v>
      </c>
      <c r="L87" s="187" t="s">
        <v>172</v>
      </c>
      <c r="M87" s="187" t="s">
        <v>203</v>
      </c>
      <c r="N87" s="187" t="s">
        <v>204</v>
      </c>
    </row>
    <row r="88" spans="1:14" ht="13.15" hidden="1" x14ac:dyDescent="0.2">
      <c r="A88" s="191"/>
      <c r="B88" s="187" t="s">
        <v>31</v>
      </c>
      <c r="C88" s="187"/>
      <c r="D88" s="187"/>
      <c r="E88" s="187"/>
      <c r="F88" s="187"/>
      <c r="G88" s="187"/>
      <c r="H88" s="187"/>
      <c r="I88" s="187"/>
      <c r="J88" s="187"/>
      <c r="K88" s="187"/>
      <c r="L88" s="190"/>
      <c r="M88" s="190"/>
      <c r="N88" s="190"/>
    </row>
    <row r="89" spans="1:14" ht="13.15" hidden="1" x14ac:dyDescent="0.2">
      <c r="A89" s="187" t="s">
        <v>121</v>
      </c>
      <c r="B89" s="193" t="s">
        <v>221</v>
      </c>
      <c r="C89" s="187" t="s">
        <v>1</v>
      </c>
      <c r="D89" s="187" t="s">
        <v>1</v>
      </c>
      <c r="E89" s="187" t="s">
        <v>1</v>
      </c>
      <c r="F89" s="187" t="s">
        <v>1</v>
      </c>
      <c r="G89" s="187" t="s">
        <v>1</v>
      </c>
      <c r="H89" s="187" t="s">
        <v>1</v>
      </c>
      <c r="I89" s="187" t="s">
        <v>1</v>
      </c>
      <c r="J89" s="187" t="s">
        <v>1</v>
      </c>
      <c r="K89" s="187" t="s">
        <v>1</v>
      </c>
      <c r="L89" s="194"/>
      <c r="M89" s="194"/>
      <c r="N89" s="194"/>
    </row>
    <row r="90" spans="1:14" ht="9.1" customHeight="1" x14ac:dyDescent="0.25">
      <c r="A90" s="186"/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</row>
    <row r="91" spans="1:14" ht="13.15" x14ac:dyDescent="0.25">
      <c r="A91" s="195" t="s">
        <v>558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</row>
    <row r="92" spans="1:14" ht="13.15" x14ac:dyDescent="0.25">
      <c r="A92" s="186"/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  <c r="M92" s="186"/>
      <c r="N92" s="186"/>
    </row>
    <row r="93" spans="1:14" ht="15.85" customHeight="1" x14ac:dyDescent="0.25">
      <c r="A93" s="297" t="s">
        <v>199</v>
      </c>
      <c r="B93" s="300" t="s">
        <v>11</v>
      </c>
      <c r="C93" s="301" t="s">
        <v>241</v>
      </c>
      <c r="D93" s="301"/>
      <c r="E93" s="301"/>
      <c r="F93" s="301" t="s">
        <v>242</v>
      </c>
      <c r="G93" s="301"/>
      <c r="H93" s="301"/>
      <c r="I93" s="301" t="s">
        <v>81</v>
      </c>
      <c r="J93" s="301"/>
      <c r="K93" s="301"/>
      <c r="L93" s="279" t="s">
        <v>672</v>
      </c>
      <c r="M93" s="186"/>
      <c r="N93" s="186"/>
    </row>
    <row r="94" spans="1:14" ht="15.85" customHeight="1" x14ac:dyDescent="0.25">
      <c r="A94" s="298"/>
      <c r="B94" s="300"/>
      <c r="C94" s="187" t="s">
        <v>9</v>
      </c>
      <c r="D94" s="187" t="s">
        <v>571</v>
      </c>
      <c r="E94" s="187" t="s">
        <v>630</v>
      </c>
      <c r="F94" s="187" t="s">
        <v>9</v>
      </c>
      <c r="G94" s="187" t="s">
        <v>571</v>
      </c>
      <c r="H94" s="187" t="s">
        <v>630</v>
      </c>
      <c r="I94" s="187" t="s">
        <v>9</v>
      </c>
      <c r="J94" s="187" t="s">
        <v>571</v>
      </c>
      <c r="K94" s="187" t="s">
        <v>630</v>
      </c>
      <c r="L94" s="280"/>
      <c r="M94" s="186"/>
      <c r="N94" s="186"/>
    </row>
    <row r="95" spans="1:14" ht="52.45" customHeight="1" x14ac:dyDescent="0.25">
      <c r="A95" s="299"/>
      <c r="B95" s="300"/>
      <c r="C95" s="188" t="s">
        <v>82</v>
      </c>
      <c r="D95" s="188" t="s">
        <v>83</v>
      </c>
      <c r="E95" s="188" t="s">
        <v>84</v>
      </c>
      <c r="F95" s="188" t="s">
        <v>82</v>
      </c>
      <c r="G95" s="188" t="s">
        <v>83</v>
      </c>
      <c r="H95" s="188" t="s">
        <v>84</v>
      </c>
      <c r="I95" s="188" t="s">
        <v>82</v>
      </c>
      <c r="J95" s="188" t="s">
        <v>83</v>
      </c>
      <c r="K95" s="188" t="s">
        <v>84</v>
      </c>
      <c r="L95" s="281"/>
      <c r="M95" s="186"/>
      <c r="N95" s="186"/>
    </row>
    <row r="96" spans="1:14" ht="13.15" x14ac:dyDescent="0.25">
      <c r="A96" s="187" t="s">
        <v>19</v>
      </c>
      <c r="B96" s="187" t="s">
        <v>20</v>
      </c>
      <c r="C96" s="187" t="s">
        <v>21</v>
      </c>
      <c r="D96" s="187" t="s">
        <v>22</v>
      </c>
      <c r="E96" s="187" t="s">
        <v>23</v>
      </c>
      <c r="F96" s="187" t="s">
        <v>24</v>
      </c>
      <c r="G96" s="187" t="s">
        <v>25</v>
      </c>
      <c r="H96" s="187" t="s">
        <v>26</v>
      </c>
      <c r="I96" s="187" t="s">
        <v>27</v>
      </c>
      <c r="J96" s="187" t="s">
        <v>28</v>
      </c>
      <c r="K96" s="187" t="s">
        <v>29</v>
      </c>
      <c r="L96" s="179">
        <v>12</v>
      </c>
      <c r="M96" s="186"/>
      <c r="N96" s="186"/>
    </row>
    <row r="97" spans="1:14" ht="41.35" customHeight="1" x14ac:dyDescent="0.25">
      <c r="A97" s="189" t="s">
        <v>678</v>
      </c>
      <c r="B97" s="187" t="s">
        <v>31</v>
      </c>
      <c r="C97" s="201">
        <v>0</v>
      </c>
      <c r="D97" s="201">
        <v>0</v>
      </c>
      <c r="E97" s="201">
        <v>0</v>
      </c>
      <c r="F97" s="201">
        <v>0</v>
      </c>
      <c r="G97" s="201">
        <v>0</v>
      </c>
      <c r="H97" s="201">
        <v>0</v>
      </c>
      <c r="I97" s="209">
        <v>0</v>
      </c>
      <c r="J97" s="190">
        <v>0</v>
      </c>
      <c r="K97" s="190">
        <v>0</v>
      </c>
      <c r="L97" s="190">
        <v>46200</v>
      </c>
      <c r="M97" s="186"/>
      <c r="N97" s="186"/>
    </row>
    <row r="98" spans="1:14" ht="13.15" x14ac:dyDescent="0.25">
      <c r="A98" s="187" t="s">
        <v>121</v>
      </c>
      <c r="B98" s="193" t="s">
        <v>223</v>
      </c>
      <c r="C98" s="187" t="s">
        <v>1</v>
      </c>
      <c r="D98" s="187" t="s">
        <v>1</v>
      </c>
      <c r="E98" s="187" t="s">
        <v>1</v>
      </c>
      <c r="F98" s="187" t="s">
        <v>1</v>
      </c>
      <c r="G98" s="187" t="s">
        <v>1</v>
      </c>
      <c r="H98" s="187" t="s">
        <v>1</v>
      </c>
      <c r="I98" s="194">
        <f>SUM(I97:I97)</f>
        <v>0</v>
      </c>
      <c r="J98" s="194">
        <f>SUM(J97:J97)</f>
        <v>0</v>
      </c>
      <c r="K98" s="194">
        <f>SUM(K97:K97)</f>
        <v>0</v>
      </c>
      <c r="L98" s="194">
        <f>SUM(L97)</f>
        <v>46200</v>
      </c>
      <c r="M98" s="186"/>
      <c r="N98" s="186"/>
    </row>
    <row r="99" spans="1:14" ht="13.15" x14ac:dyDescent="0.25">
      <c r="A99" s="186"/>
      <c r="B99" s="186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</row>
    <row r="100" spans="1:14" ht="13.15" x14ac:dyDescent="0.25">
      <c r="A100" s="195" t="s">
        <v>559</v>
      </c>
      <c r="B100" s="186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</row>
    <row r="101" spans="1:14" ht="13.15" hidden="1" x14ac:dyDescent="0.25">
      <c r="A101" s="186"/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6"/>
      <c r="N101" s="186"/>
    </row>
    <row r="102" spans="1:14" ht="40.549999999999997" hidden="1" customHeight="1" x14ac:dyDescent="0.25">
      <c r="A102" s="297" t="s">
        <v>199</v>
      </c>
      <c r="B102" s="300" t="s">
        <v>11</v>
      </c>
      <c r="C102" s="300" t="s">
        <v>243</v>
      </c>
      <c r="D102" s="300"/>
      <c r="E102" s="300"/>
      <c r="F102" s="300" t="s">
        <v>244</v>
      </c>
      <c r="G102" s="300"/>
      <c r="H102" s="300"/>
      <c r="I102" s="301" t="s">
        <v>81</v>
      </c>
      <c r="J102" s="301"/>
      <c r="K102" s="301"/>
      <c r="L102" s="186"/>
      <c r="M102" s="186"/>
      <c r="N102" s="186"/>
    </row>
    <row r="103" spans="1:14" ht="15.05" hidden="1" customHeight="1" x14ac:dyDescent="0.25">
      <c r="A103" s="298"/>
      <c r="B103" s="300"/>
      <c r="C103" s="187" t="s">
        <v>7</v>
      </c>
      <c r="D103" s="187" t="s">
        <v>8</v>
      </c>
      <c r="E103" s="187" t="s">
        <v>9</v>
      </c>
      <c r="F103" s="187" t="s">
        <v>7</v>
      </c>
      <c r="G103" s="187" t="s">
        <v>8</v>
      </c>
      <c r="H103" s="187" t="s">
        <v>9</v>
      </c>
      <c r="I103" s="187" t="s">
        <v>7</v>
      </c>
      <c r="J103" s="187" t="s">
        <v>8</v>
      </c>
      <c r="K103" s="187" t="s">
        <v>9</v>
      </c>
      <c r="L103" s="186"/>
      <c r="M103" s="186"/>
      <c r="N103" s="186"/>
    </row>
    <row r="104" spans="1:14" ht="53.25" hidden="1" customHeight="1" x14ac:dyDescent="0.25">
      <c r="A104" s="299"/>
      <c r="B104" s="300"/>
      <c r="C104" s="188" t="s">
        <v>82</v>
      </c>
      <c r="D104" s="188" t="s">
        <v>83</v>
      </c>
      <c r="E104" s="188" t="s">
        <v>84</v>
      </c>
      <c r="F104" s="188" t="s">
        <v>82</v>
      </c>
      <c r="G104" s="188" t="s">
        <v>83</v>
      </c>
      <c r="H104" s="188" t="s">
        <v>84</v>
      </c>
      <c r="I104" s="188" t="s">
        <v>82</v>
      </c>
      <c r="J104" s="188" t="s">
        <v>83</v>
      </c>
      <c r="K104" s="188" t="s">
        <v>84</v>
      </c>
      <c r="L104" s="186"/>
      <c r="M104" s="186"/>
      <c r="N104" s="186"/>
    </row>
    <row r="105" spans="1:14" ht="13.15" hidden="1" x14ac:dyDescent="0.25">
      <c r="A105" s="187" t="s">
        <v>19</v>
      </c>
      <c r="B105" s="187" t="s">
        <v>20</v>
      </c>
      <c r="C105" s="187" t="s">
        <v>21</v>
      </c>
      <c r="D105" s="187" t="s">
        <v>22</v>
      </c>
      <c r="E105" s="187" t="s">
        <v>23</v>
      </c>
      <c r="F105" s="187" t="s">
        <v>24</v>
      </c>
      <c r="G105" s="187" t="s">
        <v>25</v>
      </c>
      <c r="H105" s="187" t="s">
        <v>26</v>
      </c>
      <c r="I105" s="187" t="s">
        <v>27</v>
      </c>
      <c r="J105" s="187" t="s">
        <v>28</v>
      </c>
      <c r="K105" s="187" t="s">
        <v>29</v>
      </c>
      <c r="L105" s="186"/>
      <c r="M105" s="186"/>
      <c r="N105" s="186"/>
    </row>
    <row r="106" spans="1:14" ht="13.15" hidden="1" x14ac:dyDescent="0.25">
      <c r="A106" s="191"/>
      <c r="B106" s="187" t="s">
        <v>31</v>
      </c>
      <c r="C106" s="191"/>
      <c r="D106" s="191"/>
      <c r="E106" s="191"/>
      <c r="F106" s="191"/>
      <c r="G106" s="191"/>
      <c r="H106" s="191"/>
      <c r="I106" s="190"/>
      <c r="J106" s="190"/>
      <c r="K106" s="190"/>
      <c r="L106" s="186"/>
      <c r="M106" s="186"/>
      <c r="N106" s="186"/>
    </row>
    <row r="107" spans="1:14" ht="13.15" hidden="1" x14ac:dyDescent="0.25">
      <c r="A107" s="187" t="s">
        <v>121</v>
      </c>
      <c r="B107" s="193" t="s">
        <v>223</v>
      </c>
      <c r="C107" s="187" t="s">
        <v>1</v>
      </c>
      <c r="D107" s="187" t="s">
        <v>1</v>
      </c>
      <c r="E107" s="187" t="s">
        <v>1</v>
      </c>
      <c r="F107" s="187" t="s">
        <v>1</v>
      </c>
      <c r="G107" s="187" t="s">
        <v>1</v>
      </c>
      <c r="H107" s="187" t="s">
        <v>1</v>
      </c>
      <c r="I107" s="194"/>
      <c r="J107" s="194"/>
      <c r="K107" s="194"/>
      <c r="L107" s="186"/>
      <c r="M107" s="186"/>
      <c r="N107" s="186"/>
    </row>
    <row r="108" spans="1:14" ht="9.1" customHeight="1" x14ac:dyDescent="0.25">
      <c r="A108" s="186"/>
      <c r="B108" s="186"/>
      <c r="C108" s="186"/>
      <c r="D108" s="186"/>
      <c r="E108" s="186"/>
      <c r="F108" s="186"/>
      <c r="G108" s="186"/>
      <c r="H108" s="186"/>
      <c r="I108" s="186"/>
      <c r="J108" s="186"/>
      <c r="K108" s="186"/>
      <c r="L108" s="186"/>
      <c r="M108" s="186"/>
      <c r="N108" s="186"/>
    </row>
    <row r="109" spans="1:14" ht="13.15" x14ac:dyDescent="0.2">
      <c r="A109" s="303" t="s">
        <v>560</v>
      </c>
      <c r="B109" s="303"/>
      <c r="C109" s="303"/>
      <c r="D109" s="303"/>
      <c r="E109" s="303"/>
      <c r="F109" s="303"/>
      <c r="G109" s="303"/>
      <c r="H109" s="303"/>
      <c r="I109" s="303"/>
      <c r="J109" s="303"/>
      <c r="K109" s="303"/>
      <c r="L109" s="303"/>
      <c r="M109" s="303"/>
      <c r="N109" s="303"/>
    </row>
    <row r="110" spans="1:14" ht="13.15" hidden="1" x14ac:dyDescent="0.25">
      <c r="A110" s="186"/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86"/>
      <c r="N110" s="186"/>
    </row>
    <row r="111" spans="1:14" ht="39.799999999999997" hidden="1" customHeight="1" x14ac:dyDescent="0.25">
      <c r="A111" s="300" t="s">
        <v>199</v>
      </c>
      <c r="B111" s="300" t="s">
        <v>11</v>
      </c>
      <c r="C111" s="300" t="s">
        <v>245</v>
      </c>
      <c r="D111" s="300"/>
      <c r="E111" s="300"/>
      <c r="F111" s="300" t="s">
        <v>246</v>
      </c>
      <c r="G111" s="300"/>
      <c r="H111" s="300"/>
      <c r="I111" s="301" t="s">
        <v>81</v>
      </c>
      <c r="J111" s="301"/>
      <c r="K111" s="301"/>
      <c r="L111" s="186"/>
      <c r="M111" s="186"/>
      <c r="N111" s="186"/>
    </row>
    <row r="112" spans="1:14" ht="18" hidden="1" customHeight="1" x14ac:dyDescent="0.25">
      <c r="A112" s="300"/>
      <c r="B112" s="300"/>
      <c r="C112" s="187" t="s">
        <v>8</v>
      </c>
      <c r="D112" s="187" t="s">
        <v>9</v>
      </c>
      <c r="E112" s="187" t="s">
        <v>571</v>
      </c>
      <c r="F112" s="187" t="s">
        <v>8</v>
      </c>
      <c r="G112" s="187" t="s">
        <v>9</v>
      </c>
      <c r="H112" s="187" t="s">
        <v>571</v>
      </c>
      <c r="I112" s="187" t="s">
        <v>8</v>
      </c>
      <c r="J112" s="187" t="s">
        <v>9</v>
      </c>
      <c r="K112" s="187" t="s">
        <v>571</v>
      </c>
      <c r="L112" s="186"/>
      <c r="M112" s="186"/>
      <c r="N112" s="186"/>
    </row>
    <row r="113" spans="1:14" ht="53.25" hidden="1" customHeight="1" x14ac:dyDescent="0.25">
      <c r="A113" s="300"/>
      <c r="B113" s="300"/>
      <c r="C113" s="188" t="s">
        <v>82</v>
      </c>
      <c r="D113" s="188" t="s">
        <v>83</v>
      </c>
      <c r="E113" s="188" t="s">
        <v>84</v>
      </c>
      <c r="F113" s="188" t="s">
        <v>82</v>
      </c>
      <c r="G113" s="188" t="s">
        <v>83</v>
      </c>
      <c r="H113" s="188" t="s">
        <v>84</v>
      </c>
      <c r="I113" s="188" t="s">
        <v>82</v>
      </c>
      <c r="J113" s="188" t="s">
        <v>83</v>
      </c>
      <c r="K113" s="188" t="s">
        <v>84</v>
      </c>
      <c r="L113" s="186"/>
      <c r="M113" s="186"/>
      <c r="N113" s="186"/>
    </row>
    <row r="114" spans="1:14" ht="13.15" hidden="1" x14ac:dyDescent="0.25">
      <c r="A114" s="187" t="s">
        <v>19</v>
      </c>
      <c r="B114" s="187" t="s">
        <v>20</v>
      </c>
      <c r="C114" s="187" t="s">
        <v>21</v>
      </c>
      <c r="D114" s="187" t="s">
        <v>22</v>
      </c>
      <c r="E114" s="187" t="s">
        <v>23</v>
      </c>
      <c r="F114" s="187" t="s">
        <v>24</v>
      </c>
      <c r="G114" s="187" t="s">
        <v>25</v>
      </c>
      <c r="H114" s="187" t="s">
        <v>26</v>
      </c>
      <c r="I114" s="187" t="s">
        <v>27</v>
      </c>
      <c r="J114" s="187" t="s">
        <v>28</v>
      </c>
      <c r="K114" s="187" t="s">
        <v>29</v>
      </c>
      <c r="L114" s="186"/>
      <c r="M114" s="186"/>
      <c r="N114" s="186"/>
    </row>
    <row r="115" spans="1:14" ht="14.25" hidden="1" customHeight="1" x14ac:dyDescent="0.25">
      <c r="A115" s="191"/>
      <c r="B115" s="187"/>
      <c r="C115" s="201"/>
      <c r="D115" s="201"/>
      <c r="E115" s="201"/>
      <c r="F115" s="190"/>
      <c r="G115" s="190"/>
      <c r="H115" s="190"/>
      <c r="I115" s="190"/>
      <c r="J115" s="190"/>
      <c r="K115" s="190"/>
      <c r="L115" s="186"/>
      <c r="M115" s="186"/>
      <c r="N115" s="186"/>
    </row>
    <row r="116" spans="1:14" ht="14.25" hidden="1" customHeight="1" x14ac:dyDescent="0.25">
      <c r="A116" s="187" t="s">
        <v>121</v>
      </c>
      <c r="B116" s="193" t="s">
        <v>225</v>
      </c>
      <c r="C116" s="187" t="s">
        <v>1</v>
      </c>
      <c r="D116" s="187" t="s">
        <v>1</v>
      </c>
      <c r="E116" s="187" t="s">
        <v>1</v>
      </c>
      <c r="F116" s="190" t="s">
        <v>1</v>
      </c>
      <c r="G116" s="190" t="s">
        <v>1</v>
      </c>
      <c r="H116" s="190" t="s">
        <v>1</v>
      </c>
      <c r="I116" s="194">
        <f>I115</f>
        <v>0</v>
      </c>
      <c r="J116" s="194">
        <f>J115</f>
        <v>0</v>
      </c>
      <c r="K116" s="194">
        <f>K115</f>
        <v>0</v>
      </c>
      <c r="L116" s="186"/>
      <c r="M116" s="186"/>
      <c r="N116" s="186"/>
    </row>
    <row r="117" spans="1:14" ht="8.3000000000000007" customHeight="1" x14ac:dyDescent="0.25">
      <c r="A117" s="210"/>
      <c r="B117" s="210"/>
      <c r="C117" s="210"/>
      <c r="D117" s="210"/>
      <c r="E117" s="210"/>
      <c r="F117" s="211"/>
      <c r="G117" s="211"/>
      <c r="H117" s="211"/>
      <c r="I117" s="212"/>
      <c r="J117" s="212"/>
      <c r="K117" s="212"/>
      <c r="L117" s="186"/>
      <c r="M117" s="186"/>
      <c r="N117" s="186"/>
    </row>
    <row r="118" spans="1:14" ht="13.15" x14ac:dyDescent="0.25">
      <c r="A118" s="195" t="s">
        <v>561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</row>
    <row r="119" spans="1:14" ht="13.15" x14ac:dyDescent="0.25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</row>
    <row r="120" spans="1:14" ht="21" customHeight="1" x14ac:dyDescent="0.2">
      <c r="A120" s="297" t="s">
        <v>199</v>
      </c>
      <c r="B120" s="300" t="s">
        <v>11</v>
      </c>
      <c r="C120" s="301" t="s">
        <v>241</v>
      </c>
      <c r="D120" s="301"/>
      <c r="E120" s="301"/>
      <c r="F120" s="301" t="s">
        <v>242</v>
      </c>
      <c r="G120" s="301"/>
      <c r="H120" s="301"/>
      <c r="I120" s="301" t="s">
        <v>81</v>
      </c>
      <c r="J120" s="301"/>
      <c r="K120" s="301"/>
      <c r="L120" s="279" t="s">
        <v>672</v>
      </c>
    </row>
    <row r="121" spans="1:14" ht="16.45" customHeight="1" x14ac:dyDescent="0.2">
      <c r="A121" s="298"/>
      <c r="B121" s="300"/>
      <c r="C121" s="187" t="s">
        <v>9</v>
      </c>
      <c r="D121" s="187" t="s">
        <v>571</v>
      </c>
      <c r="E121" s="187" t="s">
        <v>630</v>
      </c>
      <c r="F121" s="187" t="s">
        <v>9</v>
      </c>
      <c r="G121" s="187" t="s">
        <v>571</v>
      </c>
      <c r="H121" s="187" t="s">
        <v>630</v>
      </c>
      <c r="I121" s="187" t="s">
        <v>9</v>
      </c>
      <c r="J121" s="187" t="s">
        <v>571</v>
      </c>
      <c r="K121" s="187" t="s">
        <v>630</v>
      </c>
      <c r="L121" s="280"/>
    </row>
    <row r="122" spans="1:14" ht="39.450000000000003" x14ac:dyDescent="0.2">
      <c r="A122" s="299"/>
      <c r="B122" s="300"/>
      <c r="C122" s="188" t="s">
        <v>82</v>
      </c>
      <c r="D122" s="188" t="s">
        <v>83</v>
      </c>
      <c r="E122" s="188" t="s">
        <v>84</v>
      </c>
      <c r="F122" s="188" t="s">
        <v>82</v>
      </c>
      <c r="G122" s="188" t="s">
        <v>83</v>
      </c>
      <c r="H122" s="188" t="s">
        <v>84</v>
      </c>
      <c r="I122" s="188" t="s">
        <v>82</v>
      </c>
      <c r="J122" s="188" t="s">
        <v>83</v>
      </c>
      <c r="K122" s="188" t="s">
        <v>84</v>
      </c>
      <c r="L122" s="281"/>
    </row>
    <row r="123" spans="1:14" ht="13.15" x14ac:dyDescent="0.2">
      <c r="A123" s="187" t="s">
        <v>19</v>
      </c>
      <c r="B123" s="187" t="s">
        <v>20</v>
      </c>
      <c r="C123" s="187" t="s">
        <v>21</v>
      </c>
      <c r="D123" s="187" t="s">
        <v>22</v>
      </c>
      <c r="E123" s="187" t="s">
        <v>23</v>
      </c>
      <c r="F123" s="187" t="s">
        <v>24</v>
      </c>
      <c r="G123" s="187" t="s">
        <v>25</v>
      </c>
      <c r="H123" s="187" t="s">
        <v>26</v>
      </c>
      <c r="I123" s="187" t="s">
        <v>27</v>
      </c>
      <c r="J123" s="187" t="s">
        <v>28</v>
      </c>
      <c r="K123" s="187" t="s">
        <v>29</v>
      </c>
      <c r="L123" s="179">
        <v>12</v>
      </c>
    </row>
    <row r="124" spans="1:14" ht="15.05" customHeight="1" x14ac:dyDescent="0.2">
      <c r="A124" s="189" t="s">
        <v>679</v>
      </c>
      <c r="B124" s="193" t="s">
        <v>31</v>
      </c>
      <c r="C124" s="201">
        <v>0</v>
      </c>
      <c r="D124" s="201">
        <v>0</v>
      </c>
      <c r="E124" s="201">
        <v>0</v>
      </c>
      <c r="F124" s="201">
        <v>0</v>
      </c>
      <c r="G124" s="201">
        <v>0</v>
      </c>
      <c r="H124" s="201">
        <v>0</v>
      </c>
      <c r="I124" s="209">
        <v>0</v>
      </c>
      <c r="J124" s="190">
        <v>0</v>
      </c>
      <c r="K124" s="190">
        <v>0</v>
      </c>
      <c r="L124" s="190">
        <v>9400</v>
      </c>
    </row>
    <row r="125" spans="1:14" ht="15.05" customHeight="1" x14ac:dyDescent="0.2">
      <c r="A125" s="189" t="s">
        <v>680</v>
      </c>
      <c r="B125" s="193" t="s">
        <v>33</v>
      </c>
      <c r="C125" s="201">
        <v>0</v>
      </c>
      <c r="D125" s="201">
        <v>0</v>
      </c>
      <c r="E125" s="201">
        <v>0</v>
      </c>
      <c r="F125" s="201">
        <v>0</v>
      </c>
      <c r="G125" s="201">
        <v>0</v>
      </c>
      <c r="H125" s="201">
        <v>0</v>
      </c>
      <c r="I125" s="209">
        <v>0</v>
      </c>
      <c r="J125" s="190">
        <v>0</v>
      </c>
      <c r="K125" s="190">
        <v>0</v>
      </c>
      <c r="L125" s="190">
        <v>150400</v>
      </c>
    </row>
    <row r="126" spans="1:14" ht="15.05" customHeight="1" x14ac:dyDescent="0.2">
      <c r="A126" s="189" t="s">
        <v>681</v>
      </c>
      <c r="B126" s="193" t="s">
        <v>380</v>
      </c>
      <c r="C126" s="201">
        <v>0</v>
      </c>
      <c r="D126" s="201">
        <v>0</v>
      </c>
      <c r="E126" s="201">
        <v>0</v>
      </c>
      <c r="F126" s="201">
        <v>0</v>
      </c>
      <c r="G126" s="201">
        <v>0</v>
      </c>
      <c r="H126" s="201">
        <v>0</v>
      </c>
      <c r="I126" s="209">
        <v>0</v>
      </c>
      <c r="J126" s="190">
        <v>0</v>
      </c>
      <c r="K126" s="190">
        <v>0</v>
      </c>
      <c r="L126" s="190">
        <v>28215</v>
      </c>
    </row>
    <row r="127" spans="1:14" ht="14.25" customHeight="1" x14ac:dyDescent="0.2">
      <c r="A127" s="187" t="s">
        <v>121</v>
      </c>
      <c r="B127" s="193" t="s">
        <v>226</v>
      </c>
      <c r="C127" s="187" t="s">
        <v>1</v>
      </c>
      <c r="D127" s="187" t="s">
        <v>1</v>
      </c>
      <c r="E127" s="187" t="s">
        <v>1</v>
      </c>
      <c r="F127" s="187" t="s">
        <v>1</v>
      </c>
      <c r="G127" s="187" t="s">
        <v>1</v>
      </c>
      <c r="H127" s="187" t="s">
        <v>1</v>
      </c>
      <c r="I127" s="194">
        <f>SUM(I124:I126)</f>
        <v>0</v>
      </c>
      <c r="J127" s="194">
        <f>SUM(J124:J126)</f>
        <v>0</v>
      </c>
      <c r="K127" s="194">
        <f>SUM(K124:K126)</f>
        <v>0</v>
      </c>
      <c r="L127" s="194">
        <f>SUM(L124:L126)</f>
        <v>188015</v>
      </c>
      <c r="M127" s="213"/>
      <c r="N127" s="213"/>
    </row>
    <row r="128" spans="1:14" ht="14.25" customHeight="1" x14ac:dyDescent="0.2">
      <c r="A128" s="210"/>
      <c r="B128" s="210"/>
      <c r="C128" s="210"/>
      <c r="D128" s="210"/>
      <c r="E128" s="210"/>
      <c r="F128" s="210"/>
      <c r="G128" s="210"/>
      <c r="H128" s="210"/>
      <c r="I128" s="212"/>
      <c r="J128" s="212"/>
      <c r="K128" s="212"/>
    </row>
    <row r="129" spans="1:11" ht="14.25" customHeight="1" x14ac:dyDescent="0.25">
      <c r="A129" s="195" t="s">
        <v>589</v>
      </c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</row>
    <row r="130" spans="1:11" ht="14.25" hidden="1" customHeight="1" x14ac:dyDescent="0.25">
      <c r="A130" s="186"/>
      <c r="B130" s="186"/>
      <c r="C130" s="186"/>
      <c r="D130" s="186"/>
      <c r="E130" s="186"/>
      <c r="F130" s="186"/>
      <c r="G130" s="186"/>
      <c r="H130" s="186"/>
      <c r="I130" s="186"/>
      <c r="J130" s="186"/>
      <c r="K130" s="186"/>
    </row>
    <row r="131" spans="1:11" ht="14.25" hidden="1" customHeight="1" x14ac:dyDescent="0.2">
      <c r="A131" s="297" t="s">
        <v>199</v>
      </c>
      <c r="B131" s="300" t="s">
        <v>11</v>
      </c>
      <c r="C131" s="301" t="s">
        <v>513</v>
      </c>
      <c r="D131" s="301"/>
      <c r="E131" s="301"/>
      <c r="F131" s="301" t="s">
        <v>512</v>
      </c>
      <c r="G131" s="301"/>
      <c r="H131" s="301"/>
      <c r="I131" s="301" t="s">
        <v>81</v>
      </c>
      <c r="J131" s="301"/>
      <c r="K131" s="301"/>
    </row>
    <row r="132" spans="1:11" ht="14.25" hidden="1" customHeight="1" x14ac:dyDescent="0.2">
      <c r="A132" s="298"/>
      <c r="B132" s="300"/>
      <c r="C132" s="187" t="s">
        <v>8</v>
      </c>
      <c r="D132" s="187" t="s">
        <v>9</v>
      </c>
      <c r="E132" s="187" t="s">
        <v>571</v>
      </c>
      <c r="F132" s="187" t="s">
        <v>8</v>
      </c>
      <c r="G132" s="187" t="s">
        <v>9</v>
      </c>
      <c r="H132" s="187" t="s">
        <v>571</v>
      </c>
      <c r="I132" s="187" t="s">
        <v>8</v>
      </c>
      <c r="J132" s="187" t="s">
        <v>9</v>
      </c>
      <c r="K132" s="187" t="s">
        <v>571</v>
      </c>
    </row>
    <row r="133" spans="1:11" ht="14.25" hidden="1" customHeight="1" x14ac:dyDescent="0.2">
      <c r="A133" s="299"/>
      <c r="B133" s="300"/>
      <c r="C133" s="188" t="s">
        <v>82</v>
      </c>
      <c r="D133" s="188" t="s">
        <v>83</v>
      </c>
      <c r="E133" s="188" t="s">
        <v>84</v>
      </c>
      <c r="F133" s="188" t="s">
        <v>82</v>
      </c>
      <c r="G133" s="188" t="s">
        <v>83</v>
      </c>
      <c r="H133" s="188" t="s">
        <v>84</v>
      </c>
      <c r="I133" s="188" t="s">
        <v>82</v>
      </c>
      <c r="J133" s="188" t="s">
        <v>83</v>
      </c>
      <c r="K133" s="188" t="s">
        <v>84</v>
      </c>
    </row>
    <row r="134" spans="1:11" ht="14.25" hidden="1" customHeight="1" x14ac:dyDescent="0.2">
      <c r="A134" s="187" t="s">
        <v>19</v>
      </c>
      <c r="B134" s="187" t="s">
        <v>20</v>
      </c>
      <c r="C134" s="187" t="s">
        <v>21</v>
      </c>
      <c r="D134" s="187" t="s">
        <v>22</v>
      </c>
      <c r="E134" s="187" t="s">
        <v>23</v>
      </c>
      <c r="F134" s="187" t="s">
        <v>24</v>
      </c>
      <c r="G134" s="187" t="s">
        <v>25</v>
      </c>
      <c r="H134" s="187" t="s">
        <v>26</v>
      </c>
      <c r="I134" s="187" t="s">
        <v>27</v>
      </c>
      <c r="J134" s="187" t="s">
        <v>28</v>
      </c>
      <c r="K134" s="187" t="s">
        <v>29</v>
      </c>
    </row>
    <row r="135" spans="1:11" ht="39.799999999999997" hidden="1" customHeight="1" x14ac:dyDescent="0.2">
      <c r="A135" s="189"/>
      <c r="B135" s="193"/>
      <c r="C135" s="201"/>
      <c r="D135" s="201"/>
      <c r="E135" s="201"/>
      <c r="F135" s="190"/>
      <c r="G135" s="190"/>
      <c r="H135" s="190"/>
      <c r="I135" s="190"/>
      <c r="J135" s="190"/>
      <c r="K135" s="190"/>
    </row>
    <row r="136" spans="1:11" ht="16.45" hidden="1" customHeight="1" x14ac:dyDescent="0.2">
      <c r="A136" s="189"/>
      <c r="B136" s="193"/>
      <c r="C136" s="201"/>
      <c r="D136" s="201"/>
      <c r="E136" s="201"/>
      <c r="F136" s="190"/>
      <c r="G136" s="190"/>
      <c r="H136" s="190"/>
      <c r="I136" s="190"/>
      <c r="J136" s="190"/>
      <c r="K136" s="190"/>
    </row>
    <row r="137" spans="1:11" ht="14.25" hidden="1" customHeight="1" x14ac:dyDescent="0.2">
      <c r="A137" s="187" t="s">
        <v>121</v>
      </c>
      <c r="B137" s="193" t="s">
        <v>91</v>
      </c>
      <c r="C137" s="187" t="s">
        <v>1</v>
      </c>
      <c r="D137" s="187" t="s">
        <v>1</v>
      </c>
      <c r="E137" s="187" t="s">
        <v>1</v>
      </c>
      <c r="F137" s="187" t="s">
        <v>1</v>
      </c>
      <c r="G137" s="187" t="s">
        <v>1</v>
      </c>
      <c r="H137" s="187" t="s">
        <v>1</v>
      </c>
      <c r="I137" s="194">
        <f>SUM(I135:I136)</f>
        <v>0</v>
      </c>
      <c r="J137" s="194">
        <f t="shared" ref="J137:K137" si="2">SUM(J135:J136)</f>
        <v>0</v>
      </c>
      <c r="K137" s="194">
        <f t="shared" si="2"/>
        <v>0</v>
      </c>
    </row>
    <row r="138" spans="1:11" ht="15.85" customHeight="1" x14ac:dyDescent="0.2">
      <c r="A138" s="210"/>
      <c r="B138" s="210"/>
      <c r="C138" s="210"/>
      <c r="D138" s="210"/>
      <c r="E138" s="210"/>
      <c r="F138" s="210"/>
      <c r="G138" s="210"/>
      <c r="H138" s="210"/>
      <c r="I138" s="212"/>
      <c r="J138" s="212"/>
      <c r="K138" s="212"/>
    </row>
    <row r="139" spans="1:11" ht="13.15" x14ac:dyDescent="0.25">
      <c r="A139" s="195" t="s">
        <v>682</v>
      </c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</row>
    <row r="140" spans="1:11" ht="13.15" hidden="1" x14ac:dyDescent="0.25">
      <c r="A140" s="186"/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</row>
    <row r="141" spans="1:11" ht="15.05" hidden="1" customHeight="1" x14ac:dyDescent="0.2">
      <c r="A141" s="297" t="s">
        <v>199</v>
      </c>
      <c r="B141" s="300" t="s">
        <v>11</v>
      </c>
      <c r="C141" s="301" t="s">
        <v>513</v>
      </c>
      <c r="D141" s="301"/>
      <c r="E141" s="301"/>
      <c r="F141" s="301" t="s">
        <v>512</v>
      </c>
      <c r="G141" s="301"/>
      <c r="H141" s="301"/>
      <c r="I141" s="301" t="s">
        <v>81</v>
      </c>
      <c r="J141" s="301"/>
      <c r="K141" s="301"/>
    </row>
    <row r="142" spans="1:11" ht="15.85" hidden="1" customHeight="1" x14ac:dyDescent="0.2">
      <c r="A142" s="298"/>
      <c r="B142" s="300"/>
      <c r="C142" s="187" t="s">
        <v>9</v>
      </c>
      <c r="D142" s="187" t="s">
        <v>571</v>
      </c>
      <c r="E142" s="187" t="s">
        <v>630</v>
      </c>
      <c r="F142" s="187" t="s">
        <v>9</v>
      </c>
      <c r="G142" s="187" t="s">
        <v>571</v>
      </c>
      <c r="H142" s="187" t="s">
        <v>630</v>
      </c>
      <c r="I142" s="187" t="s">
        <v>9</v>
      </c>
      <c r="J142" s="187" t="s">
        <v>571</v>
      </c>
      <c r="K142" s="187" t="s">
        <v>630</v>
      </c>
    </row>
    <row r="143" spans="1:11" ht="39.450000000000003" hidden="1" x14ac:dyDescent="0.2">
      <c r="A143" s="299"/>
      <c r="B143" s="300"/>
      <c r="C143" s="188" t="s">
        <v>82</v>
      </c>
      <c r="D143" s="188" t="s">
        <v>83</v>
      </c>
      <c r="E143" s="188" t="s">
        <v>84</v>
      </c>
      <c r="F143" s="188" t="s">
        <v>82</v>
      </c>
      <c r="G143" s="188" t="s">
        <v>83</v>
      </c>
      <c r="H143" s="188" t="s">
        <v>84</v>
      </c>
      <c r="I143" s="188" t="s">
        <v>82</v>
      </c>
      <c r="J143" s="188" t="s">
        <v>83</v>
      </c>
      <c r="K143" s="188" t="s">
        <v>84</v>
      </c>
    </row>
    <row r="144" spans="1:11" ht="13.15" hidden="1" x14ac:dyDescent="0.2">
      <c r="A144" s="187" t="s">
        <v>19</v>
      </c>
      <c r="B144" s="187" t="s">
        <v>20</v>
      </c>
      <c r="C144" s="187" t="s">
        <v>21</v>
      </c>
      <c r="D144" s="187" t="s">
        <v>22</v>
      </c>
      <c r="E144" s="187" t="s">
        <v>23</v>
      </c>
      <c r="F144" s="187" t="s">
        <v>24</v>
      </c>
      <c r="G144" s="187" t="s">
        <v>25</v>
      </c>
      <c r="H144" s="187" t="s">
        <v>26</v>
      </c>
      <c r="I144" s="187" t="s">
        <v>27</v>
      </c>
      <c r="J144" s="187" t="s">
        <v>28</v>
      </c>
      <c r="K144" s="187" t="s">
        <v>29</v>
      </c>
    </row>
    <row r="145" spans="1:11" ht="16.45" hidden="1" customHeight="1" x14ac:dyDescent="0.2">
      <c r="A145" s="189"/>
      <c r="B145" s="187"/>
      <c r="C145" s="201"/>
      <c r="D145" s="201"/>
      <c r="E145" s="201"/>
      <c r="F145" s="190"/>
      <c r="G145" s="190"/>
      <c r="H145" s="190"/>
      <c r="I145" s="190"/>
      <c r="J145" s="190"/>
      <c r="K145" s="190"/>
    </row>
    <row r="146" spans="1:11" ht="27.1" hidden="1" customHeight="1" x14ac:dyDescent="0.2">
      <c r="A146" s="189"/>
      <c r="B146" s="187"/>
      <c r="C146" s="201"/>
      <c r="D146" s="201"/>
      <c r="E146" s="201"/>
      <c r="F146" s="190"/>
      <c r="G146" s="190"/>
      <c r="H146" s="190"/>
      <c r="I146" s="190"/>
      <c r="J146" s="190"/>
      <c r="K146" s="190"/>
    </row>
    <row r="147" spans="1:11" ht="15.85" hidden="1" customHeight="1" x14ac:dyDescent="0.2">
      <c r="A147" s="189"/>
      <c r="B147" s="187"/>
      <c r="C147" s="201"/>
      <c r="D147" s="201"/>
      <c r="E147" s="201"/>
      <c r="F147" s="190"/>
      <c r="G147" s="190"/>
      <c r="H147" s="190"/>
      <c r="I147" s="190"/>
      <c r="J147" s="190"/>
      <c r="K147" s="190"/>
    </row>
    <row r="148" spans="1:11" ht="15.85" hidden="1" customHeight="1" x14ac:dyDescent="0.2">
      <c r="A148" s="189"/>
      <c r="B148" s="187"/>
      <c r="C148" s="201"/>
      <c r="D148" s="201"/>
      <c r="E148" s="201"/>
      <c r="F148" s="190"/>
      <c r="G148" s="190"/>
      <c r="H148" s="190"/>
      <c r="I148" s="190"/>
      <c r="J148" s="190"/>
      <c r="K148" s="190"/>
    </row>
    <row r="149" spans="1:11" ht="27.7" hidden="1" customHeight="1" x14ac:dyDescent="0.2">
      <c r="A149" s="189"/>
      <c r="B149" s="187"/>
      <c r="C149" s="201"/>
      <c r="D149" s="201"/>
      <c r="E149" s="201"/>
      <c r="F149" s="190"/>
      <c r="G149" s="190"/>
      <c r="H149" s="190"/>
      <c r="I149" s="190"/>
      <c r="J149" s="190"/>
      <c r="K149" s="190"/>
    </row>
    <row r="150" spans="1:11" ht="15.85" hidden="1" customHeight="1" x14ac:dyDescent="0.2">
      <c r="A150" s="189"/>
      <c r="B150" s="187"/>
      <c r="C150" s="201"/>
      <c r="D150" s="201"/>
      <c r="E150" s="201"/>
      <c r="F150" s="190"/>
      <c r="G150" s="190"/>
      <c r="H150" s="190"/>
      <c r="I150" s="190"/>
      <c r="J150" s="190"/>
      <c r="K150" s="190"/>
    </row>
    <row r="151" spans="1:11" ht="15.85" hidden="1" customHeight="1" x14ac:dyDescent="0.2">
      <c r="A151" s="189"/>
      <c r="B151" s="187"/>
      <c r="C151" s="201"/>
      <c r="D151" s="201"/>
      <c r="E151" s="201"/>
      <c r="F151" s="190"/>
      <c r="G151" s="190"/>
      <c r="H151" s="190"/>
      <c r="I151" s="190"/>
      <c r="J151" s="190"/>
      <c r="K151" s="190"/>
    </row>
    <row r="152" spans="1:11" ht="28.5" hidden="1" customHeight="1" x14ac:dyDescent="0.2">
      <c r="A152" s="189"/>
      <c r="B152" s="187"/>
      <c r="C152" s="201"/>
      <c r="D152" s="201"/>
      <c r="E152" s="201"/>
      <c r="F152" s="190"/>
      <c r="G152" s="190"/>
      <c r="H152" s="190"/>
      <c r="I152" s="190"/>
      <c r="J152" s="190"/>
      <c r="K152" s="190"/>
    </row>
    <row r="153" spans="1:11" ht="15.85" hidden="1" customHeight="1" x14ac:dyDescent="0.2">
      <c r="A153" s="187" t="s">
        <v>121</v>
      </c>
      <c r="B153" s="193" t="s">
        <v>581</v>
      </c>
      <c r="C153" s="187" t="s">
        <v>1</v>
      </c>
      <c r="D153" s="187" t="s">
        <v>1</v>
      </c>
      <c r="E153" s="187" t="s">
        <v>1</v>
      </c>
      <c r="F153" s="187" t="s">
        <v>1</v>
      </c>
      <c r="G153" s="187" t="s">
        <v>1</v>
      </c>
      <c r="H153" s="187" t="s">
        <v>1</v>
      </c>
      <c r="I153" s="194">
        <f>SUM(I145:I152)</f>
        <v>0</v>
      </c>
      <c r="J153" s="194">
        <f>SUM(J145:J145)</f>
        <v>0</v>
      </c>
      <c r="K153" s="194">
        <f>SUM(K145:K145)</f>
        <v>0</v>
      </c>
    </row>
    <row r="154" spans="1:11" ht="15.85" customHeight="1" x14ac:dyDescent="0.2">
      <c r="A154" s="210"/>
      <c r="B154" s="210"/>
      <c r="C154" s="210"/>
      <c r="D154" s="210"/>
      <c r="E154" s="210"/>
      <c r="F154" s="210"/>
      <c r="G154" s="210"/>
      <c r="H154" s="210"/>
      <c r="I154" s="212"/>
      <c r="J154" s="212"/>
      <c r="K154" s="212"/>
    </row>
    <row r="155" spans="1:11" ht="13.15" x14ac:dyDescent="0.25">
      <c r="A155" s="195" t="s">
        <v>683</v>
      </c>
      <c r="B155" s="186"/>
      <c r="C155" s="186"/>
      <c r="D155" s="186"/>
      <c r="E155" s="186"/>
      <c r="F155" s="186"/>
      <c r="G155" s="186"/>
      <c r="H155" s="186"/>
      <c r="I155" s="186"/>
      <c r="J155" s="186"/>
      <c r="K155" s="186"/>
    </row>
    <row r="156" spans="1:11" ht="13.15" hidden="1" x14ac:dyDescent="0.25">
      <c r="A156" s="186"/>
      <c r="B156" s="186"/>
      <c r="C156" s="186"/>
      <c r="D156" s="186"/>
      <c r="E156" s="186"/>
      <c r="F156" s="186"/>
      <c r="G156" s="186"/>
      <c r="H156" s="186"/>
      <c r="I156" s="186"/>
      <c r="J156" s="186"/>
      <c r="K156" s="186"/>
    </row>
    <row r="157" spans="1:11" ht="15.85" hidden="1" customHeight="1" x14ac:dyDescent="0.2">
      <c r="A157" s="297" t="s">
        <v>199</v>
      </c>
      <c r="B157" s="300" t="s">
        <v>11</v>
      </c>
      <c r="C157" s="301" t="s">
        <v>513</v>
      </c>
      <c r="D157" s="301"/>
      <c r="E157" s="301"/>
      <c r="F157" s="301" t="s">
        <v>512</v>
      </c>
      <c r="G157" s="301"/>
      <c r="H157" s="301"/>
      <c r="I157" s="301" t="s">
        <v>81</v>
      </c>
      <c r="J157" s="301"/>
      <c r="K157" s="301"/>
    </row>
    <row r="158" spans="1:11" ht="14.25" hidden="1" customHeight="1" x14ac:dyDescent="0.2">
      <c r="A158" s="298"/>
      <c r="B158" s="300"/>
      <c r="C158" s="187" t="s">
        <v>8</v>
      </c>
      <c r="D158" s="187" t="s">
        <v>9</v>
      </c>
      <c r="E158" s="187" t="s">
        <v>571</v>
      </c>
      <c r="F158" s="187" t="s">
        <v>8</v>
      </c>
      <c r="G158" s="187" t="s">
        <v>9</v>
      </c>
      <c r="H158" s="187" t="s">
        <v>571</v>
      </c>
      <c r="I158" s="187" t="s">
        <v>8</v>
      </c>
      <c r="J158" s="187" t="s">
        <v>9</v>
      </c>
      <c r="K158" s="187" t="s">
        <v>571</v>
      </c>
    </row>
    <row r="159" spans="1:11" ht="39.450000000000003" hidden="1" x14ac:dyDescent="0.2">
      <c r="A159" s="299"/>
      <c r="B159" s="300"/>
      <c r="C159" s="188" t="s">
        <v>82</v>
      </c>
      <c r="D159" s="188" t="s">
        <v>83</v>
      </c>
      <c r="E159" s="188" t="s">
        <v>84</v>
      </c>
      <c r="F159" s="188" t="s">
        <v>82</v>
      </c>
      <c r="G159" s="188" t="s">
        <v>83</v>
      </c>
      <c r="H159" s="188" t="s">
        <v>84</v>
      </c>
      <c r="I159" s="188" t="s">
        <v>82</v>
      </c>
      <c r="J159" s="188" t="s">
        <v>83</v>
      </c>
      <c r="K159" s="188" t="s">
        <v>84</v>
      </c>
    </row>
    <row r="160" spans="1:11" ht="13.15" hidden="1" x14ac:dyDescent="0.2">
      <c r="A160" s="187" t="s">
        <v>19</v>
      </c>
      <c r="B160" s="187" t="s">
        <v>20</v>
      </c>
      <c r="C160" s="187" t="s">
        <v>21</v>
      </c>
      <c r="D160" s="187" t="s">
        <v>22</v>
      </c>
      <c r="E160" s="187" t="s">
        <v>23</v>
      </c>
      <c r="F160" s="187" t="s">
        <v>24</v>
      </c>
      <c r="G160" s="187" t="s">
        <v>25</v>
      </c>
      <c r="H160" s="187" t="s">
        <v>26</v>
      </c>
      <c r="I160" s="187" t="s">
        <v>27</v>
      </c>
      <c r="J160" s="187" t="s">
        <v>28</v>
      </c>
      <c r="K160" s="187" t="s">
        <v>29</v>
      </c>
    </row>
    <row r="161" spans="1:11" ht="16.45" hidden="1" customHeight="1" x14ac:dyDescent="0.2">
      <c r="A161" s="189"/>
      <c r="B161" s="187"/>
      <c r="C161" s="201"/>
      <c r="D161" s="201"/>
      <c r="E161" s="201"/>
      <c r="F161" s="190"/>
      <c r="G161" s="190"/>
      <c r="H161" s="190"/>
      <c r="I161" s="190"/>
      <c r="J161" s="190"/>
      <c r="K161" s="190"/>
    </row>
    <row r="162" spans="1:11" ht="13.15" hidden="1" x14ac:dyDescent="0.2">
      <c r="A162" s="187" t="s">
        <v>121</v>
      </c>
      <c r="B162" s="193" t="s">
        <v>582</v>
      </c>
      <c r="C162" s="187" t="s">
        <v>1</v>
      </c>
      <c r="D162" s="187" t="s">
        <v>1</v>
      </c>
      <c r="E162" s="187" t="s">
        <v>1</v>
      </c>
      <c r="F162" s="187" t="s">
        <v>1</v>
      </c>
      <c r="G162" s="187" t="s">
        <v>1</v>
      </c>
      <c r="H162" s="187" t="s">
        <v>1</v>
      </c>
      <c r="I162" s="214">
        <f>SUM(I161:I161)</f>
        <v>0</v>
      </c>
      <c r="J162" s="194">
        <f>SUM(J161:J161)</f>
        <v>0</v>
      </c>
      <c r="K162" s="194">
        <f>SUM(K161:K161)</f>
        <v>0</v>
      </c>
    </row>
    <row r="163" spans="1:11" ht="13.15" x14ac:dyDescent="0.2">
      <c r="A163" s="210"/>
      <c r="B163" s="210"/>
      <c r="C163" s="210"/>
      <c r="D163" s="210"/>
      <c r="E163" s="210"/>
      <c r="F163" s="210"/>
      <c r="G163" s="210"/>
      <c r="H163" s="210"/>
      <c r="I163" s="215"/>
      <c r="J163" s="212"/>
      <c r="K163" s="212"/>
    </row>
    <row r="164" spans="1:11" ht="13.15" x14ac:dyDescent="0.25">
      <c r="A164" s="195" t="s">
        <v>684</v>
      </c>
      <c r="B164" s="186"/>
      <c r="C164" s="186"/>
      <c r="D164" s="186"/>
      <c r="E164" s="186"/>
      <c r="F164" s="186"/>
      <c r="G164" s="186"/>
      <c r="H164" s="186"/>
      <c r="I164" s="186"/>
      <c r="J164" s="186"/>
      <c r="K164" s="186"/>
    </row>
    <row r="165" spans="1:11" ht="13.15" hidden="1" x14ac:dyDescent="0.25">
      <c r="A165" s="186"/>
      <c r="B165" s="186"/>
      <c r="C165" s="186"/>
      <c r="D165" s="186"/>
      <c r="E165" s="186"/>
      <c r="F165" s="186"/>
      <c r="G165" s="186"/>
      <c r="H165" s="186"/>
      <c r="I165" s="186"/>
      <c r="J165" s="186"/>
      <c r="K165" s="186"/>
    </row>
    <row r="166" spans="1:11" ht="15.05" hidden="1" customHeight="1" x14ac:dyDescent="0.2">
      <c r="A166" s="297" t="s">
        <v>199</v>
      </c>
      <c r="B166" s="300" t="s">
        <v>11</v>
      </c>
      <c r="C166" s="301" t="s">
        <v>513</v>
      </c>
      <c r="D166" s="301"/>
      <c r="E166" s="301"/>
      <c r="F166" s="301" t="s">
        <v>512</v>
      </c>
      <c r="G166" s="301"/>
      <c r="H166" s="301"/>
      <c r="I166" s="301" t="s">
        <v>81</v>
      </c>
      <c r="J166" s="301"/>
      <c r="K166" s="301"/>
    </row>
    <row r="167" spans="1:11" ht="15.85" hidden="1" customHeight="1" x14ac:dyDescent="0.2">
      <c r="A167" s="298"/>
      <c r="B167" s="300"/>
      <c r="C167" s="187" t="s">
        <v>8</v>
      </c>
      <c r="D167" s="187" t="s">
        <v>9</v>
      </c>
      <c r="E167" s="187" t="s">
        <v>571</v>
      </c>
      <c r="F167" s="187" t="s">
        <v>8</v>
      </c>
      <c r="G167" s="187" t="s">
        <v>9</v>
      </c>
      <c r="H167" s="187" t="s">
        <v>571</v>
      </c>
      <c r="I167" s="187" t="s">
        <v>8</v>
      </c>
      <c r="J167" s="187" t="s">
        <v>9</v>
      </c>
      <c r="K167" s="187" t="s">
        <v>571</v>
      </c>
    </row>
    <row r="168" spans="1:11" ht="39.450000000000003" hidden="1" x14ac:dyDescent="0.2">
      <c r="A168" s="299"/>
      <c r="B168" s="300"/>
      <c r="C168" s="188" t="s">
        <v>82</v>
      </c>
      <c r="D168" s="188" t="s">
        <v>83</v>
      </c>
      <c r="E168" s="188" t="s">
        <v>84</v>
      </c>
      <c r="F168" s="188" t="s">
        <v>82</v>
      </c>
      <c r="G168" s="188" t="s">
        <v>83</v>
      </c>
      <c r="H168" s="188" t="s">
        <v>84</v>
      </c>
      <c r="I168" s="188" t="s">
        <v>82</v>
      </c>
      <c r="J168" s="188" t="s">
        <v>83</v>
      </c>
      <c r="K168" s="188" t="s">
        <v>84</v>
      </c>
    </row>
    <row r="169" spans="1:11" ht="13.15" hidden="1" x14ac:dyDescent="0.2">
      <c r="A169" s="187" t="s">
        <v>19</v>
      </c>
      <c r="B169" s="187" t="s">
        <v>20</v>
      </c>
      <c r="C169" s="187" t="s">
        <v>21</v>
      </c>
      <c r="D169" s="187" t="s">
        <v>22</v>
      </c>
      <c r="E169" s="187" t="s">
        <v>23</v>
      </c>
      <c r="F169" s="187" t="s">
        <v>24</v>
      </c>
      <c r="G169" s="187" t="s">
        <v>25</v>
      </c>
      <c r="H169" s="187" t="s">
        <v>26</v>
      </c>
      <c r="I169" s="187" t="s">
        <v>27</v>
      </c>
      <c r="J169" s="187" t="s">
        <v>28</v>
      </c>
      <c r="K169" s="187" t="s">
        <v>29</v>
      </c>
    </row>
    <row r="170" spans="1:11" ht="39.799999999999997" hidden="1" customHeight="1" x14ac:dyDescent="0.2">
      <c r="A170" s="189"/>
      <c r="B170" s="187" t="s">
        <v>31</v>
      </c>
      <c r="C170" s="201"/>
      <c r="D170" s="201">
        <f>C170</f>
        <v>0</v>
      </c>
      <c r="E170" s="201">
        <f>C170</f>
        <v>0</v>
      </c>
      <c r="F170" s="190"/>
      <c r="G170" s="190">
        <f>F170</f>
        <v>0</v>
      </c>
      <c r="H170" s="190">
        <f>F170</f>
        <v>0</v>
      </c>
      <c r="I170" s="190">
        <f>F170</f>
        <v>0</v>
      </c>
      <c r="J170" s="190">
        <f>I170</f>
        <v>0</v>
      </c>
      <c r="K170" s="190">
        <f>I170</f>
        <v>0</v>
      </c>
    </row>
    <row r="171" spans="1:11" ht="13.15" hidden="1" x14ac:dyDescent="0.2">
      <c r="A171" s="187" t="s">
        <v>121</v>
      </c>
      <c r="B171" s="193" t="s">
        <v>583</v>
      </c>
      <c r="C171" s="187" t="s">
        <v>1</v>
      </c>
      <c r="D171" s="187" t="s">
        <v>1</v>
      </c>
      <c r="E171" s="187" t="s">
        <v>1</v>
      </c>
      <c r="F171" s="187" t="s">
        <v>1</v>
      </c>
      <c r="G171" s="187" t="s">
        <v>1</v>
      </c>
      <c r="H171" s="187" t="s">
        <v>1</v>
      </c>
      <c r="I171" s="194">
        <f>SUM(I170:I170)</f>
        <v>0</v>
      </c>
      <c r="J171" s="194">
        <f>SUM(J170:J170)</f>
        <v>0</v>
      </c>
      <c r="K171" s="194">
        <f>SUM(K170:K170)</f>
        <v>0</v>
      </c>
    </row>
    <row r="172" spans="1:11" ht="13.15" x14ac:dyDescent="0.2">
      <c r="A172" s="210"/>
      <c r="B172" s="210"/>
      <c r="C172" s="210"/>
      <c r="D172" s="210"/>
      <c r="E172" s="210"/>
      <c r="F172" s="210"/>
      <c r="G172" s="210"/>
      <c r="H172" s="210"/>
      <c r="I172" s="212"/>
      <c r="J172" s="212"/>
      <c r="K172" s="212"/>
    </row>
    <row r="173" spans="1:11" ht="13.15" x14ac:dyDescent="0.25">
      <c r="A173" s="195" t="s">
        <v>685</v>
      </c>
      <c r="B173" s="186"/>
      <c r="C173" s="186"/>
      <c r="D173" s="186"/>
      <c r="E173" s="186"/>
      <c r="F173" s="186"/>
      <c r="G173" s="186"/>
      <c r="H173" s="186"/>
      <c r="I173" s="186"/>
      <c r="J173" s="186"/>
      <c r="K173" s="186"/>
    </row>
    <row r="174" spans="1:11" ht="13.15" hidden="1" x14ac:dyDescent="0.25">
      <c r="A174" s="186"/>
      <c r="B174" s="186"/>
      <c r="C174" s="186"/>
      <c r="D174" s="186"/>
      <c r="E174" s="186"/>
      <c r="F174" s="186"/>
      <c r="G174" s="186"/>
      <c r="H174" s="186"/>
      <c r="I174" s="186"/>
      <c r="J174" s="186"/>
      <c r="K174" s="186"/>
    </row>
    <row r="175" spans="1:11" ht="16.45" hidden="1" customHeight="1" x14ac:dyDescent="0.2">
      <c r="A175" s="297" t="s">
        <v>199</v>
      </c>
      <c r="B175" s="300" t="s">
        <v>11</v>
      </c>
      <c r="C175" s="301" t="s">
        <v>513</v>
      </c>
      <c r="D175" s="301"/>
      <c r="E175" s="301"/>
      <c r="F175" s="301" t="s">
        <v>512</v>
      </c>
      <c r="G175" s="301"/>
      <c r="H175" s="301"/>
      <c r="I175" s="301" t="s">
        <v>81</v>
      </c>
      <c r="J175" s="301"/>
      <c r="K175" s="301"/>
    </row>
    <row r="176" spans="1:11" ht="14.25" hidden="1" customHeight="1" x14ac:dyDescent="0.2">
      <c r="A176" s="298"/>
      <c r="B176" s="300"/>
      <c r="C176" s="187" t="s">
        <v>9</v>
      </c>
      <c r="D176" s="187" t="s">
        <v>571</v>
      </c>
      <c r="E176" s="187" t="s">
        <v>630</v>
      </c>
      <c r="F176" s="187" t="s">
        <v>9</v>
      </c>
      <c r="G176" s="187" t="s">
        <v>571</v>
      </c>
      <c r="H176" s="187" t="s">
        <v>630</v>
      </c>
      <c r="I176" s="187" t="s">
        <v>9</v>
      </c>
      <c r="J176" s="187" t="s">
        <v>571</v>
      </c>
      <c r="K176" s="187" t="s">
        <v>630</v>
      </c>
    </row>
    <row r="177" spans="1:11" ht="39.450000000000003" hidden="1" x14ac:dyDescent="0.2">
      <c r="A177" s="299"/>
      <c r="B177" s="300"/>
      <c r="C177" s="188" t="s">
        <v>82</v>
      </c>
      <c r="D177" s="188" t="s">
        <v>83</v>
      </c>
      <c r="E177" s="188" t="s">
        <v>84</v>
      </c>
      <c r="F177" s="188" t="s">
        <v>82</v>
      </c>
      <c r="G177" s="188" t="s">
        <v>83</v>
      </c>
      <c r="H177" s="188" t="s">
        <v>84</v>
      </c>
      <c r="I177" s="188" t="s">
        <v>82</v>
      </c>
      <c r="J177" s="188" t="s">
        <v>83</v>
      </c>
      <c r="K177" s="188" t="s">
        <v>84</v>
      </c>
    </row>
    <row r="178" spans="1:11" ht="13.15" hidden="1" x14ac:dyDescent="0.2">
      <c r="A178" s="187" t="s">
        <v>19</v>
      </c>
      <c r="B178" s="187" t="s">
        <v>20</v>
      </c>
      <c r="C178" s="187" t="s">
        <v>21</v>
      </c>
      <c r="D178" s="187" t="s">
        <v>22</v>
      </c>
      <c r="E178" s="187" t="s">
        <v>23</v>
      </c>
      <c r="F178" s="187" t="s">
        <v>24</v>
      </c>
      <c r="G178" s="187" t="s">
        <v>25</v>
      </c>
      <c r="H178" s="187" t="s">
        <v>26</v>
      </c>
      <c r="I178" s="187" t="s">
        <v>27</v>
      </c>
      <c r="J178" s="187" t="s">
        <v>28</v>
      </c>
      <c r="K178" s="187" t="s">
        <v>29</v>
      </c>
    </row>
    <row r="179" spans="1:11" ht="15.85" hidden="1" customHeight="1" x14ac:dyDescent="0.2">
      <c r="A179" s="189"/>
      <c r="B179" s="187"/>
      <c r="C179" s="216"/>
      <c r="D179" s="201"/>
      <c r="E179" s="201"/>
      <c r="F179" s="190"/>
      <c r="G179" s="190"/>
      <c r="H179" s="190"/>
      <c r="I179" s="190"/>
      <c r="J179" s="190"/>
      <c r="K179" s="190"/>
    </row>
    <row r="180" spans="1:11" ht="15.85" hidden="1" customHeight="1" x14ac:dyDescent="0.2">
      <c r="A180" s="189"/>
      <c r="B180" s="187"/>
      <c r="C180" s="217"/>
      <c r="D180" s="201"/>
      <c r="E180" s="201"/>
      <c r="F180" s="190"/>
      <c r="G180" s="190"/>
      <c r="H180" s="190"/>
      <c r="I180" s="190"/>
      <c r="J180" s="190"/>
      <c r="K180" s="190"/>
    </row>
    <row r="181" spans="1:11" ht="13.15" hidden="1" x14ac:dyDescent="0.2">
      <c r="A181" s="187" t="s">
        <v>121</v>
      </c>
      <c r="B181" s="193" t="s">
        <v>584</v>
      </c>
      <c r="C181" s="187" t="s">
        <v>1</v>
      </c>
      <c r="D181" s="187" t="s">
        <v>1</v>
      </c>
      <c r="E181" s="187" t="s">
        <v>1</v>
      </c>
      <c r="F181" s="187" t="s">
        <v>1</v>
      </c>
      <c r="G181" s="187" t="s">
        <v>1</v>
      </c>
      <c r="H181" s="187" t="s">
        <v>1</v>
      </c>
      <c r="I181" s="194">
        <f>SUM(I179:I180)</f>
        <v>0</v>
      </c>
      <c r="J181" s="194">
        <f>SUM(J179:J179)</f>
        <v>0</v>
      </c>
      <c r="K181" s="194">
        <f>SUM(K179:K179)</f>
        <v>0</v>
      </c>
    </row>
    <row r="182" spans="1:11" ht="13.15" x14ac:dyDescent="0.2">
      <c r="A182" s="210"/>
      <c r="B182" s="210"/>
      <c r="C182" s="210"/>
      <c r="D182" s="210"/>
      <c r="E182" s="210"/>
      <c r="F182" s="210"/>
      <c r="G182" s="210"/>
      <c r="H182" s="210"/>
      <c r="I182" s="212"/>
      <c r="J182" s="212"/>
      <c r="K182" s="212"/>
    </row>
    <row r="183" spans="1:11" ht="13.15" x14ac:dyDescent="0.25">
      <c r="A183" s="195" t="s">
        <v>686</v>
      </c>
      <c r="B183" s="186"/>
      <c r="C183" s="186"/>
      <c r="D183" s="186"/>
      <c r="E183" s="186"/>
      <c r="F183" s="186"/>
      <c r="G183" s="186"/>
      <c r="H183" s="186"/>
      <c r="I183" s="186"/>
      <c r="J183" s="186"/>
      <c r="K183" s="186"/>
    </row>
    <row r="184" spans="1:11" ht="13.15" hidden="1" x14ac:dyDescent="0.25">
      <c r="A184" s="186"/>
      <c r="B184" s="186"/>
      <c r="C184" s="186"/>
      <c r="D184" s="186"/>
      <c r="E184" s="186"/>
      <c r="F184" s="186"/>
      <c r="G184" s="186"/>
      <c r="H184" s="186"/>
      <c r="I184" s="186"/>
      <c r="J184" s="186"/>
      <c r="K184" s="186"/>
    </row>
    <row r="185" spans="1:11" ht="16.45" hidden="1" customHeight="1" x14ac:dyDescent="0.2">
      <c r="A185" s="297" t="s">
        <v>199</v>
      </c>
      <c r="B185" s="300" t="s">
        <v>11</v>
      </c>
      <c r="C185" s="301" t="s">
        <v>513</v>
      </c>
      <c r="D185" s="301"/>
      <c r="E185" s="301"/>
      <c r="F185" s="301" t="s">
        <v>512</v>
      </c>
      <c r="G185" s="301"/>
      <c r="H185" s="301"/>
      <c r="I185" s="301" t="s">
        <v>81</v>
      </c>
      <c r="J185" s="301"/>
      <c r="K185" s="301"/>
    </row>
    <row r="186" spans="1:11" ht="14.25" hidden="1" customHeight="1" x14ac:dyDescent="0.2">
      <c r="A186" s="298"/>
      <c r="B186" s="300"/>
      <c r="C186" s="187" t="s">
        <v>8</v>
      </c>
      <c r="D186" s="187" t="s">
        <v>9</v>
      </c>
      <c r="E186" s="187" t="s">
        <v>571</v>
      </c>
      <c r="F186" s="187" t="s">
        <v>8</v>
      </c>
      <c r="G186" s="187" t="s">
        <v>9</v>
      </c>
      <c r="H186" s="187" t="s">
        <v>571</v>
      </c>
      <c r="I186" s="187" t="s">
        <v>8</v>
      </c>
      <c r="J186" s="187" t="s">
        <v>9</v>
      </c>
      <c r="K186" s="187" t="s">
        <v>571</v>
      </c>
    </row>
    <row r="187" spans="1:11" ht="39.450000000000003" hidden="1" x14ac:dyDescent="0.2">
      <c r="A187" s="299"/>
      <c r="B187" s="300"/>
      <c r="C187" s="188" t="s">
        <v>82</v>
      </c>
      <c r="D187" s="188" t="s">
        <v>83</v>
      </c>
      <c r="E187" s="188" t="s">
        <v>84</v>
      </c>
      <c r="F187" s="188" t="s">
        <v>82</v>
      </c>
      <c r="G187" s="188" t="s">
        <v>83</v>
      </c>
      <c r="H187" s="188" t="s">
        <v>84</v>
      </c>
      <c r="I187" s="188" t="s">
        <v>82</v>
      </c>
      <c r="J187" s="188" t="s">
        <v>83</v>
      </c>
      <c r="K187" s="188" t="s">
        <v>84</v>
      </c>
    </row>
    <row r="188" spans="1:11" ht="13.15" hidden="1" x14ac:dyDescent="0.2">
      <c r="A188" s="187" t="s">
        <v>19</v>
      </c>
      <c r="B188" s="187" t="s">
        <v>20</v>
      </c>
      <c r="C188" s="187" t="s">
        <v>21</v>
      </c>
      <c r="D188" s="187" t="s">
        <v>22</v>
      </c>
      <c r="E188" s="187" t="s">
        <v>23</v>
      </c>
      <c r="F188" s="187" t="s">
        <v>24</v>
      </c>
      <c r="G188" s="187" t="s">
        <v>25</v>
      </c>
      <c r="H188" s="187" t="s">
        <v>26</v>
      </c>
      <c r="I188" s="187" t="s">
        <v>27</v>
      </c>
      <c r="J188" s="187" t="s">
        <v>28</v>
      </c>
      <c r="K188" s="187" t="s">
        <v>29</v>
      </c>
    </row>
    <row r="189" spans="1:11" ht="27.1" hidden="1" customHeight="1" x14ac:dyDescent="0.2">
      <c r="A189" s="189"/>
      <c r="B189" s="187" t="s">
        <v>31</v>
      </c>
      <c r="C189" s="201"/>
      <c r="D189" s="201">
        <f>C189</f>
        <v>0</v>
      </c>
      <c r="E189" s="201">
        <f>C189</f>
        <v>0</v>
      </c>
      <c r="F189" s="190"/>
      <c r="G189" s="190">
        <f>F189</f>
        <v>0</v>
      </c>
      <c r="H189" s="190">
        <f>F189</f>
        <v>0</v>
      </c>
      <c r="I189" s="190">
        <f>F189</f>
        <v>0</v>
      </c>
      <c r="J189" s="190">
        <f>I189</f>
        <v>0</v>
      </c>
      <c r="K189" s="190">
        <f>I189</f>
        <v>0</v>
      </c>
    </row>
    <row r="190" spans="1:11" ht="13.15" hidden="1" x14ac:dyDescent="0.2">
      <c r="A190" s="187" t="s">
        <v>121</v>
      </c>
      <c r="B190" s="193" t="s">
        <v>585</v>
      </c>
      <c r="C190" s="187" t="s">
        <v>1</v>
      </c>
      <c r="D190" s="187" t="s">
        <v>1</v>
      </c>
      <c r="E190" s="187" t="s">
        <v>1</v>
      </c>
      <c r="F190" s="187" t="s">
        <v>1</v>
      </c>
      <c r="G190" s="187" t="s">
        <v>1</v>
      </c>
      <c r="H190" s="187" t="s">
        <v>1</v>
      </c>
      <c r="I190" s="194">
        <f>SUM(I189:I189)</f>
        <v>0</v>
      </c>
      <c r="J190" s="194">
        <f>SUM(J189:J189)</f>
        <v>0</v>
      </c>
      <c r="K190" s="194">
        <f>SUM(K189:K189)</f>
        <v>0</v>
      </c>
    </row>
    <row r="191" spans="1:11" ht="13.15" x14ac:dyDescent="0.2">
      <c r="A191" s="210"/>
      <c r="B191" s="210"/>
      <c r="C191" s="210"/>
      <c r="D191" s="210"/>
      <c r="E191" s="210"/>
      <c r="F191" s="210"/>
      <c r="G191" s="210"/>
      <c r="H191" s="210"/>
      <c r="I191" s="212"/>
      <c r="J191" s="212"/>
      <c r="K191" s="212"/>
    </row>
    <row r="192" spans="1:11" ht="13.15" x14ac:dyDescent="0.25">
      <c r="A192" s="195" t="s">
        <v>687</v>
      </c>
      <c r="B192" s="186"/>
      <c r="C192" s="186"/>
      <c r="D192" s="186"/>
      <c r="E192" s="186"/>
      <c r="F192" s="186"/>
      <c r="G192" s="186"/>
      <c r="H192" s="186"/>
      <c r="I192" s="186"/>
      <c r="J192" s="186"/>
      <c r="K192" s="186"/>
    </row>
    <row r="193" spans="1:13" ht="13.15" hidden="1" x14ac:dyDescent="0.25">
      <c r="A193" s="186"/>
      <c r="B193" s="186"/>
      <c r="C193" s="186"/>
      <c r="D193" s="186"/>
      <c r="E193" s="186"/>
      <c r="F193" s="186"/>
      <c r="G193" s="186"/>
      <c r="H193" s="186"/>
      <c r="I193" s="186"/>
      <c r="J193" s="186"/>
      <c r="K193" s="186"/>
    </row>
    <row r="194" spans="1:13" ht="14.25" hidden="1" customHeight="1" x14ac:dyDescent="0.2">
      <c r="A194" s="297" t="s">
        <v>199</v>
      </c>
      <c r="B194" s="300" t="s">
        <v>11</v>
      </c>
      <c r="C194" s="301" t="s">
        <v>513</v>
      </c>
      <c r="D194" s="301"/>
      <c r="E194" s="301"/>
      <c r="F194" s="301" t="s">
        <v>512</v>
      </c>
      <c r="G194" s="301"/>
      <c r="H194" s="301"/>
      <c r="I194" s="301" t="s">
        <v>81</v>
      </c>
      <c r="J194" s="301"/>
      <c r="K194" s="301"/>
    </row>
    <row r="195" spans="1:13" ht="14.25" hidden="1" customHeight="1" x14ac:dyDescent="0.2">
      <c r="A195" s="298"/>
      <c r="B195" s="300"/>
      <c r="C195" s="187" t="s">
        <v>8</v>
      </c>
      <c r="D195" s="187" t="s">
        <v>9</v>
      </c>
      <c r="E195" s="187" t="s">
        <v>571</v>
      </c>
      <c r="F195" s="187" t="s">
        <v>8</v>
      </c>
      <c r="G195" s="187" t="s">
        <v>9</v>
      </c>
      <c r="H195" s="187" t="s">
        <v>571</v>
      </c>
      <c r="I195" s="187" t="s">
        <v>8</v>
      </c>
      <c r="J195" s="187" t="s">
        <v>9</v>
      </c>
      <c r="K195" s="187" t="s">
        <v>571</v>
      </c>
    </row>
    <row r="196" spans="1:13" ht="39.450000000000003" hidden="1" x14ac:dyDescent="0.2">
      <c r="A196" s="299"/>
      <c r="B196" s="300"/>
      <c r="C196" s="188" t="s">
        <v>82</v>
      </c>
      <c r="D196" s="188" t="s">
        <v>83</v>
      </c>
      <c r="E196" s="188" t="s">
        <v>84</v>
      </c>
      <c r="F196" s="188" t="s">
        <v>82</v>
      </c>
      <c r="G196" s="188" t="s">
        <v>83</v>
      </c>
      <c r="H196" s="188" t="s">
        <v>84</v>
      </c>
      <c r="I196" s="188" t="s">
        <v>82</v>
      </c>
      <c r="J196" s="188" t="s">
        <v>83</v>
      </c>
      <c r="K196" s="188" t="s">
        <v>84</v>
      </c>
    </row>
    <row r="197" spans="1:13" ht="13.15" hidden="1" x14ac:dyDescent="0.2">
      <c r="A197" s="187" t="s">
        <v>19</v>
      </c>
      <c r="B197" s="187" t="s">
        <v>20</v>
      </c>
      <c r="C197" s="187" t="s">
        <v>21</v>
      </c>
      <c r="D197" s="187" t="s">
        <v>22</v>
      </c>
      <c r="E197" s="187" t="s">
        <v>23</v>
      </c>
      <c r="F197" s="187" t="s">
        <v>24</v>
      </c>
      <c r="G197" s="187" t="s">
        <v>25</v>
      </c>
      <c r="H197" s="187" t="s">
        <v>26</v>
      </c>
      <c r="I197" s="187" t="s">
        <v>27</v>
      </c>
      <c r="J197" s="187" t="s">
        <v>28</v>
      </c>
      <c r="K197" s="187" t="s">
        <v>29</v>
      </c>
    </row>
    <row r="198" spans="1:13" ht="65.3" hidden="1" customHeight="1" x14ac:dyDescent="0.2">
      <c r="A198" s="189"/>
      <c r="B198" s="187"/>
      <c r="C198" s="201"/>
      <c r="D198" s="201"/>
      <c r="E198" s="201"/>
      <c r="F198" s="190"/>
      <c r="G198" s="190"/>
      <c r="H198" s="190"/>
      <c r="I198" s="190"/>
      <c r="J198" s="190"/>
      <c r="K198" s="190"/>
    </row>
    <row r="199" spans="1:13" ht="13.15" hidden="1" x14ac:dyDescent="0.2">
      <c r="A199" s="187" t="s">
        <v>121</v>
      </c>
      <c r="B199" s="193" t="s">
        <v>586</v>
      </c>
      <c r="C199" s="187" t="s">
        <v>1</v>
      </c>
      <c r="D199" s="187" t="s">
        <v>1</v>
      </c>
      <c r="E199" s="187" t="s">
        <v>1</v>
      </c>
      <c r="F199" s="187" t="s">
        <v>1</v>
      </c>
      <c r="G199" s="187" t="s">
        <v>1</v>
      </c>
      <c r="H199" s="187" t="s">
        <v>1</v>
      </c>
      <c r="I199" s="194">
        <f>SUM(I198:I198)</f>
        <v>0</v>
      </c>
      <c r="J199" s="194">
        <f>SUM(J198:J198)</f>
        <v>0</v>
      </c>
      <c r="K199" s="194">
        <f>SUM(K198:K198)</f>
        <v>0</v>
      </c>
    </row>
    <row r="200" spans="1:13" ht="13.15" x14ac:dyDescent="0.2">
      <c r="A200" s="210"/>
      <c r="B200" s="210"/>
      <c r="C200" s="210"/>
      <c r="D200" s="210"/>
      <c r="E200" s="210"/>
      <c r="F200" s="210"/>
      <c r="G200" s="210"/>
      <c r="H200" s="210"/>
      <c r="I200" s="212"/>
      <c r="J200" s="212"/>
      <c r="K200" s="212"/>
    </row>
    <row r="201" spans="1:13" ht="13.15" x14ac:dyDescent="0.25">
      <c r="A201" s="195" t="s">
        <v>688</v>
      </c>
      <c r="B201" s="186"/>
      <c r="C201" s="186"/>
      <c r="D201" s="186"/>
      <c r="E201" s="186"/>
      <c r="F201" s="186"/>
      <c r="G201" s="186"/>
      <c r="H201" s="186"/>
      <c r="I201" s="186"/>
      <c r="J201" s="186"/>
      <c r="K201" s="186"/>
    </row>
    <row r="202" spans="1:13" ht="13.15" hidden="1" x14ac:dyDescent="0.25">
      <c r="A202" s="186"/>
      <c r="B202" s="186"/>
      <c r="C202" s="186"/>
      <c r="D202" s="186"/>
      <c r="E202" s="186"/>
      <c r="F202" s="186"/>
      <c r="G202" s="186"/>
      <c r="H202" s="186"/>
      <c r="I202" s="186"/>
      <c r="J202" s="186"/>
      <c r="K202" s="186"/>
      <c r="M202" s="218"/>
    </row>
    <row r="203" spans="1:13" ht="15.05" hidden="1" customHeight="1" x14ac:dyDescent="0.2">
      <c r="A203" s="297" t="s">
        <v>199</v>
      </c>
      <c r="B203" s="300" t="s">
        <v>11</v>
      </c>
      <c r="C203" s="301" t="s">
        <v>513</v>
      </c>
      <c r="D203" s="301"/>
      <c r="E203" s="301"/>
      <c r="F203" s="301" t="s">
        <v>512</v>
      </c>
      <c r="G203" s="301"/>
      <c r="H203" s="301"/>
      <c r="I203" s="301" t="s">
        <v>81</v>
      </c>
      <c r="J203" s="301"/>
      <c r="K203" s="301"/>
      <c r="L203" s="302"/>
      <c r="M203" s="296"/>
    </row>
    <row r="204" spans="1:13" ht="15.05" hidden="1" customHeight="1" x14ac:dyDescent="0.2">
      <c r="A204" s="298"/>
      <c r="B204" s="300"/>
      <c r="C204" s="187" t="s">
        <v>9</v>
      </c>
      <c r="D204" s="187" t="s">
        <v>571</v>
      </c>
      <c r="E204" s="187" t="s">
        <v>630</v>
      </c>
      <c r="F204" s="187" t="s">
        <v>9</v>
      </c>
      <c r="G204" s="187" t="s">
        <v>571</v>
      </c>
      <c r="H204" s="187" t="s">
        <v>630</v>
      </c>
      <c r="I204" s="187" t="s">
        <v>9</v>
      </c>
      <c r="J204" s="187" t="s">
        <v>571</v>
      </c>
      <c r="K204" s="187" t="s">
        <v>630</v>
      </c>
      <c r="L204" s="302"/>
      <c r="M204" s="296"/>
    </row>
    <row r="205" spans="1:13" ht="39.450000000000003" hidden="1" x14ac:dyDescent="0.2">
      <c r="A205" s="299"/>
      <c r="B205" s="300"/>
      <c r="C205" s="188" t="s">
        <v>82</v>
      </c>
      <c r="D205" s="188" t="s">
        <v>83</v>
      </c>
      <c r="E205" s="188" t="s">
        <v>84</v>
      </c>
      <c r="F205" s="188" t="s">
        <v>82</v>
      </c>
      <c r="G205" s="188" t="s">
        <v>83</v>
      </c>
      <c r="H205" s="188" t="s">
        <v>84</v>
      </c>
      <c r="I205" s="188" t="s">
        <v>82</v>
      </c>
      <c r="J205" s="188" t="s">
        <v>83</v>
      </c>
      <c r="K205" s="188" t="s">
        <v>84</v>
      </c>
      <c r="L205" s="302"/>
      <c r="M205" s="296"/>
    </row>
    <row r="206" spans="1:13" ht="13.15" hidden="1" x14ac:dyDescent="0.25">
      <c r="A206" s="187" t="s">
        <v>19</v>
      </c>
      <c r="B206" s="187" t="s">
        <v>20</v>
      </c>
      <c r="C206" s="187" t="s">
        <v>21</v>
      </c>
      <c r="D206" s="187" t="s">
        <v>22</v>
      </c>
      <c r="E206" s="187" t="s">
        <v>23</v>
      </c>
      <c r="F206" s="187" t="s">
        <v>24</v>
      </c>
      <c r="G206" s="187" t="s">
        <v>25</v>
      </c>
      <c r="H206" s="187" t="s">
        <v>26</v>
      </c>
      <c r="I206" s="187" t="s">
        <v>27</v>
      </c>
      <c r="J206" s="187" t="s">
        <v>28</v>
      </c>
      <c r="K206" s="187" t="s">
        <v>29</v>
      </c>
      <c r="L206" s="219"/>
      <c r="M206" s="220"/>
    </row>
    <row r="207" spans="1:13" ht="39.799999999999997" hidden="1" customHeight="1" x14ac:dyDescent="0.2">
      <c r="A207" s="189"/>
      <c r="B207" s="193"/>
      <c r="C207" s="187"/>
      <c r="D207" s="187"/>
      <c r="E207" s="187"/>
      <c r="F207" s="209"/>
      <c r="G207" s="190"/>
      <c r="H207" s="190"/>
      <c r="I207" s="190"/>
      <c r="J207" s="190"/>
      <c r="K207" s="190"/>
      <c r="L207" s="221"/>
      <c r="M207" s="222"/>
    </row>
    <row r="208" spans="1:13" ht="15.05" hidden="1" customHeight="1" x14ac:dyDescent="0.2">
      <c r="A208" s="189"/>
      <c r="B208" s="193"/>
      <c r="C208" s="187"/>
      <c r="D208" s="187"/>
      <c r="E208" s="187"/>
      <c r="F208" s="209"/>
      <c r="G208" s="190"/>
      <c r="H208" s="190"/>
      <c r="I208" s="190"/>
      <c r="J208" s="190"/>
      <c r="K208" s="190"/>
      <c r="L208" s="221"/>
      <c r="M208" s="222"/>
    </row>
    <row r="209" spans="1:13" ht="15.85" hidden="1" customHeight="1" x14ac:dyDescent="0.2">
      <c r="A209" s="189"/>
      <c r="B209" s="193"/>
      <c r="C209" s="187"/>
      <c r="D209" s="187"/>
      <c r="E209" s="187"/>
      <c r="F209" s="209"/>
      <c r="G209" s="190"/>
      <c r="H209" s="190"/>
      <c r="I209" s="190"/>
      <c r="J209" s="190"/>
      <c r="K209" s="190"/>
      <c r="L209" s="221"/>
      <c r="M209" s="222"/>
    </row>
    <row r="210" spans="1:13" ht="15.05" hidden="1" customHeight="1" x14ac:dyDescent="0.2">
      <c r="A210" s="189"/>
      <c r="B210" s="193"/>
      <c r="C210" s="187"/>
      <c r="D210" s="187"/>
      <c r="E210" s="187"/>
      <c r="F210" s="209"/>
      <c r="G210" s="190"/>
      <c r="H210" s="190"/>
      <c r="I210" s="190"/>
      <c r="J210" s="190"/>
      <c r="K210" s="190"/>
      <c r="L210" s="221"/>
      <c r="M210" s="222"/>
    </row>
    <row r="211" spans="1:13" ht="15.05" hidden="1" customHeight="1" x14ac:dyDescent="0.2">
      <c r="A211" s="189"/>
      <c r="B211" s="193"/>
      <c r="C211" s="187"/>
      <c r="D211" s="187"/>
      <c r="E211" s="187"/>
      <c r="F211" s="209"/>
      <c r="G211" s="190"/>
      <c r="H211" s="190"/>
      <c r="I211" s="190"/>
      <c r="J211" s="190"/>
      <c r="K211" s="190"/>
      <c r="L211" s="221"/>
      <c r="M211" s="222"/>
    </row>
    <row r="212" spans="1:13" ht="14.25" hidden="1" customHeight="1" x14ac:dyDescent="0.2">
      <c r="A212" s="189"/>
      <c r="B212" s="193"/>
      <c r="C212" s="187"/>
      <c r="D212" s="187"/>
      <c r="E212" s="187"/>
      <c r="F212" s="209"/>
      <c r="G212" s="190"/>
      <c r="H212" s="190"/>
      <c r="I212" s="190"/>
      <c r="J212" s="190"/>
      <c r="K212" s="190"/>
      <c r="L212" s="221"/>
      <c r="M212" s="222"/>
    </row>
    <row r="213" spans="1:13" ht="30.05" hidden="1" customHeight="1" x14ac:dyDescent="0.2">
      <c r="A213" s="189"/>
      <c r="B213" s="193"/>
      <c r="C213" s="187"/>
      <c r="D213" s="187"/>
      <c r="E213" s="187"/>
      <c r="F213" s="209"/>
      <c r="G213" s="190"/>
      <c r="H213" s="190"/>
      <c r="I213" s="190"/>
      <c r="J213" s="190"/>
      <c r="K213" s="190"/>
      <c r="L213" s="221"/>
      <c r="M213" s="222"/>
    </row>
    <row r="214" spans="1:13" ht="13.15" hidden="1" x14ac:dyDescent="0.2">
      <c r="A214" s="187" t="s">
        <v>121</v>
      </c>
      <c r="B214" s="193" t="s">
        <v>587</v>
      </c>
      <c r="C214" s="187" t="s">
        <v>1</v>
      </c>
      <c r="D214" s="187" t="s">
        <v>1</v>
      </c>
      <c r="E214" s="187" t="s">
        <v>1</v>
      </c>
      <c r="F214" s="187" t="s">
        <v>1</v>
      </c>
      <c r="G214" s="187" t="s">
        <v>1</v>
      </c>
      <c r="H214" s="187" t="s">
        <v>1</v>
      </c>
      <c r="I214" s="194">
        <f>SUM(I207:I213)</f>
        <v>0</v>
      </c>
      <c r="J214" s="194">
        <f>SUM(J207:J207)</f>
        <v>0</v>
      </c>
      <c r="K214" s="194">
        <f>SUM(K207:K207)</f>
        <v>0</v>
      </c>
      <c r="L214" s="223"/>
      <c r="M214" s="224"/>
    </row>
    <row r="215" spans="1:13" ht="13.15" x14ac:dyDescent="0.2">
      <c r="A215" s="210"/>
      <c r="B215" s="225"/>
      <c r="C215" s="210"/>
      <c r="D215" s="210"/>
      <c r="E215" s="210"/>
      <c r="F215" s="210"/>
      <c r="G215" s="210"/>
      <c r="H215" s="210"/>
      <c r="I215" s="212"/>
      <c r="J215" s="212"/>
      <c r="K215" s="212"/>
      <c r="L215" s="215"/>
      <c r="M215" s="224"/>
    </row>
    <row r="216" spans="1:13" ht="13.15" x14ac:dyDescent="0.25">
      <c r="A216" s="195" t="s">
        <v>689</v>
      </c>
      <c r="B216" s="186"/>
      <c r="C216" s="186"/>
      <c r="D216" s="186"/>
      <c r="E216" s="186"/>
      <c r="F216" s="186"/>
      <c r="G216" s="186"/>
      <c r="H216" s="186"/>
      <c r="I216" s="192"/>
      <c r="J216" s="186"/>
      <c r="K216" s="186"/>
      <c r="L216" s="224"/>
      <c r="M216" s="224"/>
    </row>
    <row r="217" spans="1:13" ht="13.15" hidden="1" x14ac:dyDescent="0.25">
      <c r="A217" s="186"/>
      <c r="B217" s="186"/>
      <c r="C217" s="186"/>
      <c r="D217" s="186"/>
      <c r="E217" s="186"/>
      <c r="F217" s="186"/>
      <c r="G217" s="186"/>
      <c r="H217" s="186"/>
      <c r="I217" s="186"/>
      <c r="J217" s="186"/>
      <c r="K217" s="186"/>
    </row>
    <row r="218" spans="1:13" ht="13.15" hidden="1" x14ac:dyDescent="0.2">
      <c r="A218" s="297" t="s">
        <v>199</v>
      </c>
      <c r="B218" s="300" t="s">
        <v>11</v>
      </c>
      <c r="C218" s="301" t="s">
        <v>513</v>
      </c>
      <c r="D218" s="301"/>
      <c r="E218" s="301"/>
      <c r="F218" s="301" t="s">
        <v>512</v>
      </c>
      <c r="G218" s="301"/>
      <c r="H218" s="301"/>
      <c r="I218" s="301" t="s">
        <v>81</v>
      </c>
      <c r="J218" s="301"/>
      <c r="K218" s="301"/>
    </row>
    <row r="219" spans="1:13" ht="15.85" hidden="1" customHeight="1" x14ac:dyDescent="0.2">
      <c r="A219" s="298"/>
      <c r="B219" s="300"/>
      <c r="C219" s="187" t="s">
        <v>8</v>
      </c>
      <c r="D219" s="187" t="s">
        <v>9</v>
      </c>
      <c r="E219" s="187" t="s">
        <v>571</v>
      </c>
      <c r="F219" s="187" t="s">
        <v>8</v>
      </c>
      <c r="G219" s="187" t="s">
        <v>9</v>
      </c>
      <c r="H219" s="187" t="s">
        <v>571</v>
      </c>
      <c r="I219" s="187" t="s">
        <v>8</v>
      </c>
      <c r="J219" s="187" t="s">
        <v>9</v>
      </c>
      <c r="K219" s="187" t="s">
        <v>571</v>
      </c>
    </row>
    <row r="220" spans="1:13" ht="17.25" hidden="1" customHeight="1" x14ac:dyDescent="0.2">
      <c r="A220" s="299"/>
      <c r="B220" s="300"/>
      <c r="C220" s="188" t="s">
        <v>82</v>
      </c>
      <c r="D220" s="188" t="s">
        <v>83</v>
      </c>
      <c r="E220" s="188" t="s">
        <v>84</v>
      </c>
      <c r="F220" s="188" t="s">
        <v>82</v>
      </c>
      <c r="G220" s="188" t="s">
        <v>83</v>
      </c>
      <c r="H220" s="188" t="s">
        <v>84</v>
      </c>
      <c r="I220" s="188" t="s">
        <v>82</v>
      </c>
      <c r="J220" s="188" t="s">
        <v>83</v>
      </c>
      <c r="K220" s="188" t="s">
        <v>84</v>
      </c>
    </row>
    <row r="221" spans="1:13" ht="13.15" hidden="1" x14ac:dyDescent="0.2">
      <c r="A221" s="187" t="s">
        <v>19</v>
      </c>
      <c r="B221" s="187" t="s">
        <v>20</v>
      </c>
      <c r="C221" s="187" t="s">
        <v>21</v>
      </c>
      <c r="D221" s="187" t="s">
        <v>22</v>
      </c>
      <c r="E221" s="187" t="s">
        <v>23</v>
      </c>
      <c r="F221" s="187" t="s">
        <v>24</v>
      </c>
      <c r="G221" s="187" t="s">
        <v>25</v>
      </c>
      <c r="H221" s="187" t="s">
        <v>26</v>
      </c>
      <c r="I221" s="187" t="s">
        <v>27</v>
      </c>
      <c r="J221" s="187" t="s">
        <v>28</v>
      </c>
      <c r="K221" s="187" t="s">
        <v>29</v>
      </c>
    </row>
    <row r="222" spans="1:13" ht="27.1" hidden="1" customHeight="1" x14ac:dyDescent="0.2">
      <c r="A222" s="189"/>
      <c r="B222" s="187" t="s">
        <v>31</v>
      </c>
      <c r="C222" s="201"/>
      <c r="D222" s="201"/>
      <c r="E222" s="201"/>
      <c r="F222" s="190"/>
      <c r="G222" s="190"/>
      <c r="H222" s="190"/>
      <c r="I222" s="190">
        <f>F222</f>
        <v>0</v>
      </c>
      <c r="J222" s="190">
        <f>I222</f>
        <v>0</v>
      </c>
      <c r="K222" s="190">
        <f>I222</f>
        <v>0</v>
      </c>
    </row>
    <row r="223" spans="1:13" ht="12.7" hidden="1" customHeight="1" x14ac:dyDescent="0.2">
      <c r="A223" s="187" t="s">
        <v>121</v>
      </c>
      <c r="B223" s="193" t="s">
        <v>588</v>
      </c>
      <c r="C223" s="187" t="s">
        <v>1</v>
      </c>
      <c r="D223" s="187" t="s">
        <v>1</v>
      </c>
      <c r="E223" s="187" t="s">
        <v>1</v>
      </c>
      <c r="F223" s="187" t="s">
        <v>1</v>
      </c>
      <c r="G223" s="187" t="s">
        <v>1</v>
      </c>
      <c r="H223" s="187" t="s">
        <v>1</v>
      </c>
      <c r="I223" s="194">
        <f t="shared" ref="I223:K223" si="3">SUM(I222:I222)</f>
        <v>0</v>
      </c>
      <c r="J223" s="194">
        <f t="shared" si="3"/>
        <v>0</v>
      </c>
      <c r="K223" s="194">
        <f t="shared" si="3"/>
        <v>0</v>
      </c>
    </row>
  </sheetData>
  <mergeCells count="106">
    <mergeCell ref="A39:A41"/>
    <mergeCell ref="B39:B41"/>
    <mergeCell ref="C39:E39"/>
    <mergeCell ref="F39:H39"/>
    <mergeCell ref="I39:K39"/>
    <mergeCell ref="L39:N39"/>
    <mergeCell ref="A2:N2"/>
    <mergeCell ref="A4:N4"/>
    <mergeCell ref="A6:A8"/>
    <mergeCell ref="B6:B8"/>
    <mergeCell ref="C6:E6"/>
    <mergeCell ref="B13:B14"/>
    <mergeCell ref="A52:A54"/>
    <mergeCell ref="B52:B54"/>
    <mergeCell ref="C52:E52"/>
    <mergeCell ref="F52:H52"/>
    <mergeCell ref="I52:K52"/>
    <mergeCell ref="A61:A63"/>
    <mergeCell ref="B61:B63"/>
    <mergeCell ref="C61:E61"/>
    <mergeCell ref="F61:H61"/>
    <mergeCell ref="I61:K61"/>
    <mergeCell ref="A84:A86"/>
    <mergeCell ref="B84:B86"/>
    <mergeCell ref="C84:E84"/>
    <mergeCell ref="F84:H84"/>
    <mergeCell ref="I84:K84"/>
    <mergeCell ref="L84:N84"/>
    <mergeCell ref="L61:L63"/>
    <mergeCell ref="A75:A77"/>
    <mergeCell ref="B75:B77"/>
    <mergeCell ref="C75:E75"/>
    <mergeCell ref="F75:H75"/>
    <mergeCell ref="I75:K75"/>
    <mergeCell ref="L75:L77"/>
    <mergeCell ref="A109:N109"/>
    <mergeCell ref="A111:A113"/>
    <mergeCell ref="B111:B113"/>
    <mergeCell ref="C111:E111"/>
    <mergeCell ref="F111:H111"/>
    <mergeCell ref="I111:K111"/>
    <mergeCell ref="A93:A95"/>
    <mergeCell ref="B93:B95"/>
    <mergeCell ref="C93:E93"/>
    <mergeCell ref="F93:H93"/>
    <mergeCell ref="I93:K93"/>
    <mergeCell ref="A102:A104"/>
    <mergeCell ref="B102:B104"/>
    <mergeCell ref="C102:E102"/>
    <mergeCell ref="F102:H102"/>
    <mergeCell ref="I102:K102"/>
    <mergeCell ref="A120:A122"/>
    <mergeCell ref="B120:B122"/>
    <mergeCell ref="C120:E120"/>
    <mergeCell ref="F120:H120"/>
    <mergeCell ref="I120:K120"/>
    <mergeCell ref="A131:A133"/>
    <mergeCell ref="B131:B133"/>
    <mergeCell ref="C131:E131"/>
    <mergeCell ref="F131:H131"/>
    <mergeCell ref="I131:K131"/>
    <mergeCell ref="A141:A143"/>
    <mergeCell ref="B141:B143"/>
    <mergeCell ref="C141:E141"/>
    <mergeCell ref="F141:H141"/>
    <mergeCell ref="I141:K141"/>
    <mergeCell ref="A157:A159"/>
    <mergeCell ref="B157:B159"/>
    <mergeCell ref="C157:E157"/>
    <mergeCell ref="F157:H157"/>
    <mergeCell ref="I157:K157"/>
    <mergeCell ref="I194:K194"/>
    <mergeCell ref="A166:A168"/>
    <mergeCell ref="B166:B168"/>
    <mergeCell ref="C166:E166"/>
    <mergeCell ref="F166:H166"/>
    <mergeCell ref="I166:K166"/>
    <mergeCell ref="A175:A177"/>
    <mergeCell ref="B175:B177"/>
    <mergeCell ref="C175:E175"/>
    <mergeCell ref="F175:H175"/>
    <mergeCell ref="I175:K175"/>
    <mergeCell ref="L52:L54"/>
    <mergeCell ref="L93:L95"/>
    <mergeCell ref="L120:L122"/>
    <mergeCell ref="M203:M205"/>
    <mergeCell ref="A218:A220"/>
    <mergeCell ref="B218:B220"/>
    <mergeCell ref="C218:E218"/>
    <mergeCell ref="F218:H218"/>
    <mergeCell ref="I218:K218"/>
    <mergeCell ref="A203:A205"/>
    <mergeCell ref="B203:B205"/>
    <mergeCell ref="C203:E203"/>
    <mergeCell ref="F203:H203"/>
    <mergeCell ref="I203:K203"/>
    <mergeCell ref="L203:L205"/>
    <mergeCell ref="A185:A187"/>
    <mergeCell ref="B185:B187"/>
    <mergeCell ref="C185:E185"/>
    <mergeCell ref="F185:H185"/>
    <mergeCell ref="I185:K185"/>
    <mergeCell ref="A194:A196"/>
    <mergeCell ref="B194:B196"/>
    <mergeCell ref="C194:E194"/>
    <mergeCell ref="F194:H194"/>
  </mergeCells>
  <pageMargins left="0.39370078740157483" right="0.19685039370078741" top="0.39370078740157483" bottom="0.19685039370078741" header="0.31496062992125984" footer="0.31496062992125984"/>
  <pageSetup paperSize="9" scale="75" orientation="landscape" r:id="rId1"/>
  <rowBreaks count="3" manualBreakCount="3">
    <brk id="28" max="13" man="1"/>
    <brk id="90" max="16383" man="1"/>
    <brk id="21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Раздел 1</vt:lpstr>
      <vt:lpstr>Раздел 2</vt:lpstr>
      <vt:lpstr>Раздел 3</vt:lpstr>
      <vt:lpstr>3.6.(211+213+850)</vt:lpstr>
      <vt:lpstr>3.6.(211+213+850)(2)</vt:lpstr>
      <vt:lpstr>3.13(244)</vt:lpstr>
      <vt:lpstr>3.13(244)(2)</vt:lpstr>
      <vt:lpstr>3.13(244)(5)</vt:lpstr>
      <vt:lpstr>'3.13(244)'!Область_печати</vt:lpstr>
      <vt:lpstr>'3.13(244)(5)'!Область_печати</vt:lpstr>
      <vt:lpstr>'Раздел 1'!Область_печати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Ридель</dc:creator>
  <cp:keywords/>
  <cp:lastModifiedBy>Admin</cp:lastModifiedBy>
  <cp:lastPrinted>2022-03-16T06:57:10Z</cp:lastPrinted>
  <dcterms:modified xsi:type="dcterms:W3CDTF">2022-03-16T06:59:39Z</dcterms:modified>
</cp:coreProperties>
</file>